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ergas-my.sharepoint.com/personal/eduarda_lima_copergas_com_br/Documents/"/>
    </mc:Choice>
  </mc:AlternateContent>
  <xr:revisionPtr revIDLastSave="0" documentId="8_{1D6FD311-DA14-48B9-9038-33460A3A19C3}" xr6:coauthVersionLast="47" xr6:coauthVersionMax="47" xr10:uidLastSave="{00000000-0000-0000-0000-000000000000}"/>
  <bookViews>
    <workbookView xWindow="-28920" yWindow="-2385" windowWidth="29040" windowHeight="15720" tabRatio="743" firstSheet="87" activeTab="91" xr2:uid="{00000000-000D-0000-FFFF-FFFF00000000}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state="hidden" r:id="rId21"/>
    <sheet name="EXECUTADO_- JUNHO -_2019" sheetId="28" state="hidden" r:id="rId22"/>
    <sheet name="EXECUTADO_- AGOSTO -_2019" sheetId="31" state="hidden" r:id="rId23"/>
    <sheet name="EXECUTADO_- SETEMBRO -_2019" sheetId="32" state="hidden" r:id="rId24"/>
    <sheet name="EXECUTADO_- OUTUBRO -_2019" sheetId="34" state="hidden" r:id="rId25"/>
    <sheet name="EXECUTADO_- NOVEMBRO -_2019" sheetId="35" state="hidden" r:id="rId26"/>
    <sheet name="EXECUTADO_- DEZEMBRO -_2019" sheetId="36" state="hidden" r:id="rId27"/>
    <sheet name="EXECUTADO_- JANEIRO -_2020" sheetId="38" state="hidden" r:id="rId28"/>
    <sheet name="EXECUTADO_- FEVEREIRO -_2020" sheetId="39" state="hidden" r:id="rId29"/>
    <sheet name="EXECUTADO_- MARÇO -_2020" sheetId="42" state="hidden" r:id="rId30"/>
    <sheet name="EXECUTADO_- ABRIL -_2020" sheetId="41" state="hidden" r:id="rId31"/>
    <sheet name="EXECUTADO_- MAIO -_2020" sheetId="43" state="hidden" r:id="rId32"/>
    <sheet name="EXECUTADO_- JUNHO -_2020" sheetId="44" state="hidden" r:id="rId33"/>
    <sheet name="EXECUTADO_- JULHO -_2020" sheetId="45" state="hidden" r:id="rId34"/>
    <sheet name="EXECUTADO_- AGOSTO -_2020" sheetId="46" state="hidden" r:id="rId35"/>
    <sheet name="EXECUTADO_- SETEMBRO -_2020" sheetId="47" state="hidden" r:id="rId36"/>
    <sheet name="EXECUTADO_- OUTUBRO -_2020" sheetId="48" state="hidden" r:id="rId37"/>
    <sheet name="EXECUTADO_- NOVEMBRO -_2020" sheetId="49" state="hidden" r:id="rId38"/>
    <sheet name="EXECUTADO_- DEZEMBRO -_2020" sheetId="50" state="hidden" r:id="rId39"/>
    <sheet name="EXECUTADO_- JANEIRO -_2021" sheetId="51" state="hidden" r:id="rId40"/>
    <sheet name="EXECUTADO_- FEVEREIRO -_2021" sheetId="52" state="hidden" r:id="rId41"/>
    <sheet name="EXECUTADO_- MARÇO -_2021" sheetId="54" state="hidden" r:id="rId42"/>
    <sheet name="EXECUTADO_- ABRIL -_2021" sheetId="55" state="hidden" r:id="rId43"/>
    <sheet name="EXECUTADO_- MAIO -_2021" sheetId="56" state="hidden" r:id="rId44"/>
    <sheet name="EXECUTADO_- JUNHO -_2021" sheetId="57" state="hidden" r:id="rId45"/>
    <sheet name="EXECUTADO_- JULHO -_2021" sheetId="58" state="hidden" r:id="rId46"/>
    <sheet name="EXECUTADO_- AGOSTO -_2021" sheetId="59" state="hidden" r:id="rId47"/>
    <sheet name="EXECUTADO_- SETEMBRO -_2021" sheetId="60" state="hidden" r:id="rId48"/>
    <sheet name="EXECUTADO_- OUTUBRO -_2021" sheetId="61" state="hidden" r:id="rId49"/>
    <sheet name="EXECUTADO_- NOVEMBRO -_2021" sheetId="62" state="hidden" r:id="rId50"/>
    <sheet name="EXECUTADO_- DEZEMBRO -_2021" sheetId="63" state="hidden" r:id="rId51"/>
    <sheet name="EXECUTADO_- JANEIRO -_2022" sheetId="64" state="hidden" r:id="rId52"/>
    <sheet name="EXECUTADO_- FEVEREIRO -_2022" sheetId="65" state="hidden" r:id="rId53"/>
    <sheet name="EXECUTADO_- MARÇO -_2022" sheetId="66" state="hidden" r:id="rId54"/>
    <sheet name="EXECUTADO_- ABRIL -_2022" sheetId="67" state="hidden" r:id="rId55"/>
    <sheet name="EXECUTADO_- Maio -_2022" sheetId="69" state="hidden" r:id="rId56"/>
    <sheet name="EXECUTADO_- Junho -_2022" sheetId="70" state="hidden" r:id="rId57"/>
    <sheet name="EXECUTADO_- Julho -_2022" sheetId="71" state="hidden" r:id="rId58"/>
    <sheet name="EXECUTADO_- Agosto -_2022" sheetId="72" state="hidden" r:id="rId59"/>
    <sheet name="EXECUTADO_- Setembro -_2022" sheetId="73" state="hidden" r:id="rId60"/>
    <sheet name="EXECUTADO_- Outubro -_2022" sheetId="74" state="hidden" r:id="rId61"/>
    <sheet name="EXECUTADO_- Novembro -_2022" sheetId="75" state="hidden" r:id="rId62"/>
    <sheet name="EXECUTADO_- Dezembro -_2022" sheetId="76" state="hidden" r:id="rId63"/>
    <sheet name="EXECUTADO_- Janeiro -_2023" sheetId="77" state="hidden" r:id="rId64"/>
    <sheet name="EXECUTADO_- Março -_2023" sheetId="78" state="hidden" r:id="rId65"/>
    <sheet name="EXECUTADO_- Abril -_2023" sheetId="79" state="hidden" r:id="rId66"/>
    <sheet name="EXECUTADO_- Maio -_2023" sheetId="81" state="hidden" r:id="rId67"/>
    <sheet name="EXECUTADO_- Junho -_2023" sheetId="82" state="hidden" r:id="rId68"/>
    <sheet name="EXECUTADO_- Julho -_2023" sheetId="83" state="hidden" r:id="rId69"/>
    <sheet name="EXECUTADO_- Agosto -_2023" sheetId="84" state="hidden" r:id="rId70"/>
    <sheet name="EXECUTADO_- Setembro -_2023" sheetId="85" state="hidden" r:id="rId71"/>
    <sheet name="EXECUTADO_- Outubro -_2023" sheetId="86" state="hidden" r:id="rId72"/>
    <sheet name="EXECUTADO_- Novembro -_2023" sheetId="87" state="hidden" r:id="rId73"/>
    <sheet name="EXECUTADO_- Dezembro -_2023" sheetId="88" state="hidden" r:id="rId74"/>
    <sheet name="EXECUTADO_- Janeiro -_2024" sheetId="89" state="hidden" r:id="rId75"/>
    <sheet name="EXECUTADO_- Fevereir -_2024" sheetId="90" state="hidden" r:id="rId76"/>
    <sheet name="EXECUTADO_- Março -_2024" sheetId="91" state="hidden" r:id="rId77"/>
    <sheet name="EXECUTADO_- Abril -_2024" sheetId="92" state="hidden" r:id="rId78"/>
    <sheet name="EXECUTADO_- Maio -_2024" sheetId="93" state="hidden" r:id="rId79"/>
    <sheet name="EXECUTADO_- Junho -_2024" sheetId="94" state="hidden" r:id="rId80"/>
    <sheet name="EXECUTADO_- Julho -_2024" sheetId="95" state="hidden" r:id="rId81"/>
    <sheet name="EXECUTADO_- Agosto-_2024 " sheetId="99" state="hidden" r:id="rId82"/>
    <sheet name="EXECUTADO_- Setembro -_2024" sheetId="98" r:id="rId83"/>
    <sheet name="EXECUTADO_- Outubro -_2024" sheetId="100" state="hidden" r:id="rId84"/>
    <sheet name="EXECUTADO_- Novembro -_2024" sheetId="101" r:id="rId85"/>
    <sheet name="EXECUTADO_- Dezembro -_2024 " sheetId="102" state="hidden" r:id="rId86"/>
    <sheet name="EXECUTADO_- Janeiro - _2025" sheetId="103" r:id="rId87"/>
    <sheet name="EXECUTADO_- Fevereiro - _2025" sheetId="104" r:id="rId88"/>
    <sheet name="EXECUTADO_- Março - _2025 " sheetId="106" r:id="rId89"/>
    <sheet name="EXECUTADO_- Abril - _2025" sheetId="105" r:id="rId90"/>
    <sheet name="EXECUTADO_- Maio - 2025" sheetId="107" r:id="rId91"/>
    <sheet name="EXECUTADO_- Junho - 2025" sheetId="108" r:id="rId92"/>
    <sheet name="Plan2" sheetId="68" r:id="rId93"/>
    <sheet name="Plan3" sheetId="80" r:id="rId9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" i="108" l="1"/>
  <c r="S5" i="108" s="1"/>
  <c r="T5" i="108" s="1"/>
  <c r="R17" i="107"/>
  <c r="M17" i="107"/>
  <c r="N5" i="107"/>
  <c r="R15" i="107"/>
  <c r="S15" i="107" s="1"/>
  <c r="T15" i="107" s="1"/>
  <c r="R16" i="107"/>
  <c r="S16" i="107" s="1"/>
  <c r="L5" i="107"/>
  <c r="K5" i="107"/>
  <c r="L6" i="107"/>
  <c r="K6" i="107"/>
  <c r="L11" i="107"/>
  <c r="K11" i="107"/>
  <c r="L14" i="107"/>
  <c r="K14" i="107"/>
  <c r="T16" i="107" l="1"/>
  <c r="K13" i="107"/>
  <c r="L16" i="107"/>
  <c r="L15" i="107"/>
  <c r="K16" i="107"/>
  <c r="K15" i="107"/>
  <c r="R14" i="107"/>
  <c r="S14" i="107" s="1"/>
  <c r="T14" i="107" s="1"/>
  <c r="N13" i="107"/>
  <c r="R13" i="107" s="1"/>
  <c r="R12" i="107"/>
  <c r="R11" i="107"/>
  <c r="N9" i="107"/>
  <c r="R9" i="107" s="1"/>
  <c r="R10" i="107"/>
  <c r="N8" i="107"/>
  <c r="R8" i="107" s="1"/>
  <c r="R7" i="107"/>
  <c r="N6" i="107"/>
  <c r="R6" i="107" s="1"/>
  <c r="R5" i="107"/>
  <c r="S5" i="107" s="1"/>
  <c r="M20" i="105"/>
  <c r="R14" i="105"/>
  <c r="R15" i="105"/>
  <c r="S15" i="105" s="1"/>
  <c r="R16" i="105"/>
  <c r="S16" i="105" s="1"/>
  <c r="R17" i="105"/>
  <c r="S17" i="105" s="1"/>
  <c r="R18" i="105"/>
  <c r="S18" i="105" s="1"/>
  <c r="R19" i="105"/>
  <c r="S19" i="105" s="1"/>
  <c r="M17" i="105"/>
  <c r="M18" i="105"/>
  <c r="L19" i="105"/>
  <c r="K19" i="105"/>
  <c r="M14" i="105"/>
  <c r="S14" i="105" s="1"/>
  <c r="M15" i="105"/>
  <c r="M16" i="105"/>
  <c r="M13" i="105"/>
  <c r="S13" i="105" s="1"/>
  <c r="M11" i="105"/>
  <c r="M10" i="105"/>
  <c r="M9" i="105"/>
  <c r="M8" i="105"/>
  <c r="L5" i="105"/>
  <c r="K5" i="105"/>
  <c r="R14" i="106"/>
  <c r="L14" i="106"/>
  <c r="K14" i="106"/>
  <c r="N13" i="106"/>
  <c r="R13" i="106" s="1"/>
  <c r="S13" i="106" s="1"/>
  <c r="T13" i="106" s="1"/>
  <c r="L13" i="106"/>
  <c r="K13" i="106"/>
  <c r="N12" i="106"/>
  <c r="R12" i="106" s="1"/>
  <c r="S12" i="106" s="1"/>
  <c r="T12" i="106" s="1"/>
  <c r="L12" i="106"/>
  <c r="K12" i="106"/>
  <c r="R11" i="106"/>
  <c r="S11" i="106" s="1"/>
  <c r="T11" i="106" s="1"/>
  <c r="N10" i="106"/>
  <c r="R10" i="106" s="1"/>
  <c r="S10" i="106" s="1"/>
  <c r="T10" i="106" s="1"/>
  <c r="L10" i="106"/>
  <c r="K10" i="106"/>
  <c r="N9" i="106"/>
  <c r="R9" i="106" s="1"/>
  <c r="S9" i="106" s="1"/>
  <c r="T9" i="106" s="1"/>
  <c r="L9" i="106"/>
  <c r="K9" i="106"/>
  <c r="N8" i="106"/>
  <c r="R8" i="106" s="1"/>
  <c r="S8" i="106" s="1"/>
  <c r="T8" i="106" s="1"/>
  <c r="L8" i="106"/>
  <c r="K8" i="106"/>
  <c r="N7" i="106"/>
  <c r="R7" i="106" s="1"/>
  <c r="S7" i="106" s="1"/>
  <c r="T7" i="106" s="1"/>
  <c r="L7" i="106"/>
  <c r="K7" i="106"/>
  <c r="N6" i="106"/>
  <c r="R6" i="106" s="1"/>
  <c r="S6" i="106" s="1"/>
  <c r="T6" i="106" s="1"/>
  <c r="L6" i="106"/>
  <c r="K6" i="106"/>
  <c r="R5" i="106"/>
  <c r="S5" i="106" s="1"/>
  <c r="M5" i="106"/>
  <c r="M15" i="106" s="1"/>
  <c r="R10" i="105"/>
  <c r="R13" i="105"/>
  <c r="K12" i="105"/>
  <c r="L12" i="105"/>
  <c r="L7" i="105"/>
  <c r="K7" i="105"/>
  <c r="L6" i="105"/>
  <c r="K6" i="105"/>
  <c r="N8" i="105"/>
  <c r="R8" i="105" s="1"/>
  <c r="R9" i="105"/>
  <c r="S9" i="105" s="1"/>
  <c r="T9" i="105" s="1"/>
  <c r="N11" i="105"/>
  <c r="R11" i="105" s="1"/>
  <c r="S11" i="105" s="1"/>
  <c r="T11" i="105" s="1"/>
  <c r="N12" i="105"/>
  <c r="R12" i="105" s="1"/>
  <c r="S12" i="105" s="1"/>
  <c r="T12" i="105" s="1"/>
  <c r="S10" i="107" l="1"/>
  <c r="T10" i="107" s="1"/>
  <c r="S6" i="107"/>
  <c r="T6" i="107" s="1"/>
  <c r="S12" i="107"/>
  <c r="T12" i="107" s="1"/>
  <c r="S7" i="107"/>
  <c r="T7" i="107" s="1"/>
  <c r="S13" i="107"/>
  <c r="T13" i="107" s="1"/>
  <c r="S9" i="107"/>
  <c r="T9" i="107" s="1"/>
  <c r="S8" i="107"/>
  <c r="T8" i="107" s="1"/>
  <c r="S11" i="107"/>
  <c r="T11" i="107" s="1"/>
  <c r="S10" i="105"/>
  <c r="M24" i="105"/>
  <c r="S8" i="105"/>
  <c r="T8" i="105" s="1"/>
  <c r="S14" i="106"/>
  <c r="T14" i="106" s="1"/>
  <c r="T5" i="106"/>
  <c r="R7" i="105"/>
  <c r="S7" i="105" s="1"/>
  <c r="T7" i="105" s="1"/>
  <c r="N6" i="105"/>
  <c r="R6" i="105" s="1"/>
  <c r="R5" i="105"/>
  <c r="R7" i="104"/>
  <c r="M6" i="104"/>
  <c r="K6" i="104"/>
  <c r="N6" i="104"/>
  <c r="R6" i="104" s="1"/>
  <c r="S6" i="104" s="1"/>
  <c r="T6" i="104" s="1"/>
  <c r="K7" i="104"/>
  <c r="M7" i="104" s="1"/>
  <c r="M5" i="104"/>
  <c r="L5" i="104" s="1"/>
  <c r="N5" i="104"/>
  <c r="R5" i="104" s="1"/>
  <c r="S5" i="103"/>
  <c r="N5" i="103"/>
  <c r="R5" i="103" s="1"/>
  <c r="T5" i="103" s="1"/>
  <c r="M5" i="103"/>
  <c r="M16" i="103"/>
  <c r="S15" i="102"/>
  <c r="T10" i="105" l="1"/>
  <c r="S6" i="105"/>
  <c r="T6" i="105" s="1"/>
  <c r="S5" i="105"/>
  <c r="S7" i="104"/>
  <c r="T7" i="104" s="1"/>
  <c r="K5" i="104"/>
  <c r="M15" i="104"/>
  <c r="S5" i="104"/>
  <c r="S16" i="103"/>
  <c r="R7" i="102"/>
  <c r="S7" i="102" s="1"/>
  <c r="T7" i="102" s="1"/>
  <c r="K7" i="102"/>
  <c r="L15" i="102"/>
  <c r="K15" i="102" s="1"/>
  <c r="L14" i="102"/>
  <c r="K14" i="102" s="1"/>
  <c r="K13" i="102"/>
  <c r="L13" i="102"/>
  <c r="K12" i="102"/>
  <c r="L12" i="102"/>
  <c r="L11" i="102"/>
  <c r="K11" i="102" s="1"/>
  <c r="L10" i="102"/>
  <c r="K10" i="102" s="1"/>
  <c r="T5" i="105" l="1"/>
  <c r="S15" i="104"/>
  <c r="T5" i="104"/>
  <c r="S5" i="101"/>
  <c r="R5" i="102"/>
  <c r="S5" i="102" s="1"/>
  <c r="T5" i="102" s="1"/>
  <c r="R6" i="102"/>
  <c r="S6" i="102" s="1"/>
  <c r="T6" i="102" s="1"/>
  <c r="R8" i="102"/>
  <c r="S8" i="102" s="1"/>
  <c r="T8" i="102" s="1"/>
  <c r="R9" i="102"/>
  <c r="S9" i="102" s="1"/>
  <c r="T9" i="102" s="1"/>
  <c r="R14" i="102"/>
  <c r="S14" i="102" s="1"/>
  <c r="T14" i="102" s="1"/>
  <c r="R15" i="102"/>
  <c r="T15" i="102" s="1"/>
  <c r="R5" i="101"/>
  <c r="N11" i="102"/>
  <c r="R11" i="102" s="1"/>
  <c r="S11" i="102" s="1"/>
  <c r="T11" i="102" s="1"/>
  <c r="N12" i="102"/>
  <c r="R12" i="102" s="1"/>
  <c r="S12" i="102" s="1"/>
  <c r="T12" i="102" s="1"/>
  <c r="N13" i="102"/>
  <c r="R13" i="102" s="1"/>
  <c r="S13" i="102" s="1"/>
  <c r="T13" i="102" s="1"/>
  <c r="N15" i="102"/>
  <c r="N10" i="102"/>
  <c r="R10" i="102" s="1"/>
  <c r="S10" i="102" s="1"/>
  <c r="T10" i="102" s="1"/>
  <c r="M25" i="102"/>
  <c r="M12" i="101"/>
  <c r="T14" i="105" l="1"/>
  <c r="T15" i="105"/>
  <c r="T13" i="105"/>
  <c r="L11" i="101"/>
  <c r="K11" i="101"/>
  <c r="S25" i="102" l="1"/>
  <c r="M5" i="101"/>
  <c r="L13" i="101"/>
  <c r="K12" i="101"/>
  <c r="K13" i="101"/>
  <c r="K14" i="101"/>
  <c r="T16" i="105" l="1"/>
  <c r="T17" i="105"/>
  <c r="M10" i="101"/>
  <c r="N9" i="101"/>
  <c r="R9" i="101" s="1"/>
  <c r="N8" i="101"/>
  <c r="R8" i="101" s="1"/>
  <c r="S8" i="101" s="1"/>
  <c r="T8" i="101" s="1"/>
  <c r="L7" i="101"/>
  <c r="K7" i="101"/>
  <c r="L8" i="101"/>
  <c r="K8" i="101"/>
  <c r="N6" i="101"/>
  <c r="R6" i="101" s="1"/>
  <c r="M6" i="101"/>
  <c r="N14" i="101"/>
  <c r="R14" i="101" s="1"/>
  <c r="L14" i="101"/>
  <c r="N13" i="101"/>
  <c r="R13" i="101" s="1"/>
  <c r="N12" i="101"/>
  <c r="R12" i="101" s="1"/>
  <c r="R11" i="101"/>
  <c r="R10" i="101"/>
  <c r="L9" i="101"/>
  <c r="R7" i="101"/>
  <c r="N5" i="101"/>
  <c r="S11" i="100"/>
  <c r="T11" i="100"/>
  <c r="R11" i="100"/>
  <c r="M11" i="100"/>
  <c r="L11" i="100" s="1"/>
  <c r="R17" i="100"/>
  <c r="S17" i="100" s="1"/>
  <c r="T17" i="100" s="1"/>
  <c r="R19" i="100"/>
  <c r="S19" i="100" s="1"/>
  <c r="T19" i="100" s="1"/>
  <c r="L17" i="100"/>
  <c r="L18" i="100"/>
  <c r="L19" i="100"/>
  <c r="L20" i="100"/>
  <c r="L21" i="100"/>
  <c r="L22" i="100"/>
  <c r="L23" i="100"/>
  <c r="K17" i="100"/>
  <c r="K18" i="100"/>
  <c r="K19" i="100"/>
  <c r="K20" i="100"/>
  <c r="K21" i="100"/>
  <c r="K22" i="100"/>
  <c r="K23" i="100"/>
  <c r="N18" i="100"/>
  <c r="R18" i="100" s="1"/>
  <c r="S18" i="100" s="1"/>
  <c r="T18" i="100" s="1"/>
  <c r="N20" i="100"/>
  <c r="R20" i="100" s="1"/>
  <c r="S20" i="100" s="1"/>
  <c r="T20" i="100" s="1"/>
  <c r="N21" i="100"/>
  <c r="R21" i="100" s="1"/>
  <c r="S21" i="100" s="1"/>
  <c r="T21" i="100" s="1"/>
  <c r="N22" i="100"/>
  <c r="R22" i="100" s="1"/>
  <c r="S22" i="100" s="1"/>
  <c r="T22" i="100" s="1"/>
  <c r="N23" i="100"/>
  <c r="R23" i="100" s="1"/>
  <c r="S23" i="100" s="1"/>
  <c r="T23" i="100" s="1"/>
  <c r="S14" i="101" l="1"/>
  <c r="T14" i="101" s="1"/>
  <c r="M25" i="101"/>
  <c r="S7" i="101"/>
  <c r="T7" i="101" s="1"/>
  <c r="T5" i="101"/>
  <c r="S13" i="101"/>
  <c r="T13" i="101" s="1"/>
  <c r="S9" i="101"/>
  <c r="T9" i="101" s="1"/>
  <c r="S11" i="101"/>
  <c r="T11" i="101" s="1"/>
  <c r="K9" i="101"/>
  <c r="S6" i="101"/>
  <c r="T6" i="101" s="1"/>
  <c r="S10" i="101"/>
  <c r="T10" i="101" s="1"/>
  <c r="S12" i="101"/>
  <c r="T12" i="101" s="1"/>
  <c r="L12" i="101"/>
  <c r="K11" i="100"/>
  <c r="N16" i="100"/>
  <c r="R16" i="100" s="1"/>
  <c r="M16" i="100"/>
  <c r="L16" i="100" s="1"/>
  <c r="N15" i="100"/>
  <c r="R15" i="100" s="1"/>
  <c r="M15" i="100"/>
  <c r="L15" i="100" s="1"/>
  <c r="M14" i="100"/>
  <c r="N14" i="100"/>
  <c r="R14" i="100" s="1"/>
  <c r="N13" i="100"/>
  <c r="R13" i="100" s="1"/>
  <c r="M13" i="100"/>
  <c r="K14" i="100" s="1"/>
  <c r="M12" i="100"/>
  <c r="M10" i="100"/>
  <c r="L9" i="100"/>
  <c r="L8" i="100"/>
  <c r="K8" i="100"/>
  <c r="L7" i="100"/>
  <c r="K7" i="100"/>
  <c r="M6" i="100"/>
  <c r="N5" i="100"/>
  <c r="M5" i="100"/>
  <c r="L5" i="100" s="1"/>
  <c r="T18" i="105" l="1"/>
  <c r="T19" i="105"/>
  <c r="S25" i="101"/>
  <c r="K15" i="100"/>
  <c r="M8" i="100"/>
  <c r="S15" i="100"/>
  <c r="T15" i="100" s="1"/>
  <c r="S14" i="100"/>
  <c r="T14" i="100" s="1"/>
  <c r="S13" i="100"/>
  <c r="T13" i="100" s="1"/>
  <c r="K13" i="100"/>
  <c r="L13" i="100"/>
  <c r="S16" i="100"/>
  <c r="T16" i="100" s="1"/>
  <c r="L14" i="100"/>
  <c r="K16" i="100"/>
  <c r="K9" i="100"/>
  <c r="M7" i="100"/>
  <c r="K5" i="100"/>
  <c r="R12" i="100" l="1"/>
  <c r="S12" i="100" s="1"/>
  <c r="T12" i="100" s="1"/>
  <c r="L12" i="100"/>
  <c r="K12" i="100"/>
  <c r="R10" i="100"/>
  <c r="S10" i="100" s="1"/>
  <c r="T10" i="100" s="1"/>
  <c r="L10" i="100"/>
  <c r="K10" i="100"/>
  <c r="R9" i="100"/>
  <c r="N7" i="100"/>
  <c r="R7" i="100" s="1"/>
  <c r="R6" i="100"/>
  <c r="S6" i="100" s="1"/>
  <c r="T6" i="100" s="1"/>
  <c r="L6" i="100"/>
  <c r="R5" i="100"/>
  <c r="S5" i="100" s="1"/>
  <c r="T5" i="100" s="1"/>
  <c r="R18" i="98"/>
  <c r="S18" i="98"/>
  <c r="T18" i="98" s="1"/>
  <c r="T28" i="98" s="1"/>
  <c r="R19" i="98"/>
  <c r="S19" i="98" s="1"/>
  <c r="T19" i="98" s="1"/>
  <c r="R8" i="100" l="1"/>
  <c r="S8" i="100" s="1"/>
  <c r="S9" i="100"/>
  <c r="T9" i="100" s="1"/>
  <c r="K6" i="100"/>
  <c r="M26" i="100"/>
  <c r="S7" i="100"/>
  <c r="T7" i="100" s="1"/>
  <c r="R28" i="98"/>
  <c r="R25" i="98"/>
  <c r="S25" i="98" s="1"/>
  <c r="T25" i="98" s="1"/>
  <c r="R26" i="98"/>
  <c r="S26" i="98" s="1"/>
  <c r="T26" i="98" s="1"/>
  <c r="M28" i="98"/>
  <c r="M16" i="98"/>
  <c r="L16" i="98"/>
  <c r="K16" i="98"/>
  <c r="L24" i="98"/>
  <c r="K24" i="98"/>
  <c r="M24" i="98"/>
  <c r="L25" i="98"/>
  <c r="K25" i="98"/>
  <c r="M25" i="98"/>
  <c r="L26" i="98"/>
  <c r="K26" i="98"/>
  <c r="M14" i="98"/>
  <c r="L14" i="98"/>
  <c r="K14" i="98"/>
  <c r="K7" i="98"/>
  <c r="M11" i="98"/>
  <c r="M15" i="98"/>
  <c r="L15" i="98"/>
  <c r="K15" i="98"/>
  <c r="T8" i="100" l="1"/>
  <c r="S26" i="100"/>
  <c r="N25" i="98"/>
  <c r="N26" i="98"/>
  <c r="M26" i="98"/>
  <c r="L22" i="98" l="1"/>
  <c r="K22" i="98"/>
  <c r="N24" i="98"/>
  <c r="N17" i="98"/>
  <c r="N12" i="98"/>
  <c r="M19" i="98"/>
  <c r="M18" i="98"/>
  <c r="S51" i="99"/>
  <c r="T49" i="99"/>
  <c r="S49" i="99"/>
  <c r="R49" i="99"/>
  <c r="L54" i="99"/>
  <c r="M54" i="99" s="1"/>
  <c r="L53" i="99"/>
  <c r="M53" i="99" s="1"/>
  <c r="L52" i="99"/>
  <c r="M52" i="99" s="1"/>
  <c r="N51" i="99"/>
  <c r="R51" i="99" s="1"/>
  <c r="K51" i="99"/>
  <c r="M51" i="99" s="1"/>
  <c r="N50" i="99"/>
  <c r="R50" i="99" s="1"/>
  <c r="M50" i="99"/>
  <c r="K50" i="99" s="1"/>
  <c r="N49" i="99"/>
  <c r="L49" i="99"/>
  <c r="K49" i="99"/>
  <c r="N48" i="99"/>
  <c r="R48" i="99" s="1"/>
  <c r="L48" i="99"/>
  <c r="K48" i="99"/>
  <c r="N47" i="99"/>
  <c r="R47" i="99" s="1"/>
  <c r="S47" i="99" s="1"/>
  <c r="T47" i="99" s="1"/>
  <c r="L47" i="99"/>
  <c r="K47" i="99"/>
  <c r="N46" i="99"/>
  <c r="R46" i="99" s="1"/>
  <c r="S46" i="99" s="1"/>
  <c r="T46" i="99" s="1"/>
  <c r="L46" i="99"/>
  <c r="K46" i="99"/>
  <c r="R45" i="99"/>
  <c r="L45" i="99"/>
  <c r="K45" i="99"/>
  <c r="R44" i="99"/>
  <c r="S44" i="99" s="1"/>
  <c r="T44" i="99" s="1"/>
  <c r="L44" i="99"/>
  <c r="K44" i="99"/>
  <c r="R43" i="99"/>
  <c r="S43" i="99" s="1"/>
  <c r="T43" i="99" s="1"/>
  <c r="L43" i="99"/>
  <c r="K43" i="99"/>
  <c r="R42" i="99"/>
  <c r="M42" i="99"/>
  <c r="K42" i="99" s="1"/>
  <c r="L42" i="99"/>
  <c r="N41" i="99"/>
  <c r="R41" i="99" s="1"/>
  <c r="L41" i="99"/>
  <c r="M41" i="99" s="1"/>
  <c r="K41" i="99"/>
  <c r="N40" i="99"/>
  <c r="R40" i="99" s="1"/>
  <c r="S40" i="99" s="1"/>
  <c r="T40" i="99" s="1"/>
  <c r="L40" i="99"/>
  <c r="K40" i="99"/>
  <c r="N39" i="99"/>
  <c r="R39" i="99" s="1"/>
  <c r="S39" i="99" s="1"/>
  <c r="T39" i="99" s="1"/>
  <c r="L39" i="99"/>
  <c r="K39" i="99"/>
  <c r="R17" i="99"/>
  <c r="S17" i="99" s="1"/>
  <c r="T17" i="99" s="1"/>
  <c r="R18" i="99"/>
  <c r="S18" i="99" s="1"/>
  <c r="T18" i="99" s="1"/>
  <c r="R19" i="99"/>
  <c r="S19" i="99" s="1"/>
  <c r="T19" i="99" s="1"/>
  <c r="R22" i="99"/>
  <c r="R23" i="99"/>
  <c r="R24" i="99"/>
  <c r="R25" i="99"/>
  <c r="R27" i="99"/>
  <c r="S27" i="99" s="1"/>
  <c r="T27" i="99" s="1"/>
  <c r="R28" i="99"/>
  <c r="R31" i="99"/>
  <c r="R32" i="99"/>
  <c r="S32" i="99" s="1"/>
  <c r="R33" i="99"/>
  <c r="R34" i="99"/>
  <c r="S34" i="99" s="1"/>
  <c r="T34" i="99" s="1"/>
  <c r="R35" i="99"/>
  <c r="S35" i="99" s="1"/>
  <c r="T35" i="99" s="1"/>
  <c r="R36" i="99"/>
  <c r="S36" i="99" s="1"/>
  <c r="T36" i="99" s="1"/>
  <c r="R37" i="99"/>
  <c r="R38" i="99"/>
  <c r="R16" i="99"/>
  <c r="S28" i="99"/>
  <c r="T28" i="99" s="1"/>
  <c r="L16" i="99"/>
  <c r="M16" i="99"/>
  <c r="K16" i="99" s="1"/>
  <c r="L24" i="99"/>
  <c r="L36" i="99"/>
  <c r="L35" i="99"/>
  <c r="L34" i="99"/>
  <c r="M33" i="99"/>
  <c r="L27" i="99"/>
  <c r="K27" i="99"/>
  <c r="M25" i="99"/>
  <c r="S25" i="99" s="1"/>
  <c r="T25" i="99" s="1"/>
  <c r="M9" i="99"/>
  <c r="L9" i="99" s="1"/>
  <c r="M8" i="99"/>
  <c r="L8" i="99" s="1"/>
  <c r="M23" i="99"/>
  <c r="K23" i="99" s="1"/>
  <c r="M22" i="99"/>
  <c r="K22" i="99" s="1"/>
  <c r="K38" i="99"/>
  <c r="M38" i="99" s="1"/>
  <c r="L37" i="99"/>
  <c r="K37" i="99"/>
  <c r="K32" i="99"/>
  <c r="M32" i="99" s="1"/>
  <c r="K31" i="99"/>
  <c r="M31" i="99" s="1"/>
  <c r="N30" i="99"/>
  <c r="R30" i="99" s="1"/>
  <c r="L30" i="99"/>
  <c r="K30" i="99"/>
  <c r="N29" i="99"/>
  <c r="R29" i="99" s="1"/>
  <c r="L29" i="99"/>
  <c r="K29" i="99"/>
  <c r="L28" i="99"/>
  <c r="K28" i="99"/>
  <c r="N26" i="99"/>
  <c r="R26" i="99" s="1"/>
  <c r="L26" i="99"/>
  <c r="K26" i="99"/>
  <c r="N21" i="99"/>
  <c r="R21" i="99" s="1"/>
  <c r="L21" i="99"/>
  <c r="K21" i="99"/>
  <c r="N20" i="99"/>
  <c r="R20" i="99" s="1"/>
  <c r="L20" i="99"/>
  <c r="K20" i="99"/>
  <c r="L19" i="99"/>
  <c r="K19" i="99"/>
  <c r="L18" i="99"/>
  <c r="K18" i="99"/>
  <c r="L17" i="99"/>
  <c r="K17" i="99"/>
  <c r="R15" i="99"/>
  <c r="S15" i="99" s="1"/>
  <c r="T15" i="99" s="1"/>
  <c r="L15" i="99"/>
  <c r="K15" i="99"/>
  <c r="R14" i="99"/>
  <c r="S14" i="99" s="1"/>
  <c r="T14" i="99" s="1"/>
  <c r="L14" i="99"/>
  <c r="K14" i="99"/>
  <c r="R13" i="99"/>
  <c r="M13" i="99"/>
  <c r="K13" i="99" s="1"/>
  <c r="L13" i="99"/>
  <c r="N12" i="99"/>
  <c r="R12" i="99" s="1"/>
  <c r="L12" i="99"/>
  <c r="K12" i="99"/>
  <c r="R11" i="99"/>
  <c r="K11" i="99"/>
  <c r="M11" i="99" s="1"/>
  <c r="R10" i="99"/>
  <c r="K10" i="99"/>
  <c r="M10" i="99" s="1"/>
  <c r="R9" i="99"/>
  <c r="R8" i="99"/>
  <c r="R7" i="99"/>
  <c r="S7" i="99" s="1"/>
  <c r="T7" i="99" s="1"/>
  <c r="L7" i="99"/>
  <c r="K7" i="99"/>
  <c r="N6" i="99"/>
  <c r="R6" i="99" s="1"/>
  <c r="S6" i="99" s="1"/>
  <c r="T6" i="99" s="1"/>
  <c r="L6" i="99"/>
  <c r="K6" i="99"/>
  <c r="N5" i="99"/>
  <c r="R5" i="99" s="1"/>
  <c r="S5" i="99" s="1"/>
  <c r="T5" i="99" s="1"/>
  <c r="L5" i="99"/>
  <c r="K5" i="99"/>
  <c r="M48" i="99" l="1"/>
  <c r="L50" i="99"/>
  <c r="M45" i="99"/>
  <c r="S45" i="99" s="1"/>
  <c r="T45" i="99" s="1"/>
  <c r="M49" i="99"/>
  <c r="S38" i="99"/>
  <c r="T38" i="99" s="1"/>
  <c r="T51" i="99"/>
  <c r="S31" i="99"/>
  <c r="S33" i="99"/>
  <c r="S42" i="99"/>
  <c r="T42" i="99" s="1"/>
  <c r="M30" i="99"/>
  <c r="S30" i="99" s="1"/>
  <c r="S41" i="99"/>
  <c r="T41" i="99" s="1"/>
  <c r="S50" i="99"/>
  <c r="T50" i="99" s="1"/>
  <c r="S48" i="99"/>
  <c r="T48" i="99" s="1"/>
  <c r="M37" i="99"/>
  <c r="S37" i="99" s="1"/>
  <c r="T37" i="99" s="1"/>
  <c r="S20" i="99"/>
  <c r="T20" i="99" s="1"/>
  <c r="S16" i="99"/>
  <c r="T16" i="99" s="1"/>
  <c r="S21" i="99"/>
  <c r="T21" i="99" s="1"/>
  <c r="S23" i="99"/>
  <c r="T23" i="99" s="1"/>
  <c r="M12" i="99"/>
  <c r="S12" i="99" s="1"/>
  <c r="T12" i="99" s="1"/>
  <c r="M26" i="99"/>
  <c r="S26" i="99" s="1"/>
  <c r="T26" i="99" s="1"/>
  <c r="M29" i="99"/>
  <c r="S29" i="99" s="1"/>
  <c r="T33" i="99"/>
  <c r="K8" i="99"/>
  <c r="S8" i="99"/>
  <c r="T8" i="99" s="1"/>
  <c r="S9" i="99"/>
  <c r="T9" i="99" s="1"/>
  <c r="S10" i="99"/>
  <c r="T10" i="99" s="1"/>
  <c r="S11" i="99"/>
  <c r="T11" i="99" s="1"/>
  <c r="T30" i="99"/>
  <c r="K9" i="99"/>
  <c r="S24" i="99"/>
  <c r="T24" i="99" s="1"/>
  <c r="S13" i="99"/>
  <c r="T13" i="99" s="1"/>
  <c r="M8" i="98" l="1"/>
  <c r="N23" i="98"/>
  <c r="N20" i="98" l="1"/>
  <c r="R20" i="98" s="1"/>
  <c r="S20" i="98" s="1"/>
  <c r="T20" i="98" s="1"/>
  <c r="K20" i="98"/>
  <c r="L20" i="98"/>
  <c r="K17" i="98"/>
  <c r="N16" i="98"/>
  <c r="R16" i="98" s="1"/>
  <c r="S16" i="98" s="1"/>
  <c r="T16" i="98" s="1"/>
  <c r="K13" i="98"/>
  <c r="L13" i="98"/>
  <c r="N13" i="98"/>
  <c r="R13" i="98" s="1"/>
  <c r="S13" i="98" s="1"/>
  <c r="T13" i="98" s="1"/>
  <c r="L11" i="98"/>
  <c r="K11" i="98"/>
  <c r="M7" i="98"/>
  <c r="K6" i="98"/>
  <c r="L6" i="98"/>
  <c r="R24" i="98"/>
  <c r="R23" i="98"/>
  <c r="S23" i="98" s="1"/>
  <c r="T23" i="98" s="1"/>
  <c r="L23" i="98"/>
  <c r="K23" i="98"/>
  <c r="N22" i="98"/>
  <c r="R22" i="98" s="1"/>
  <c r="N21" i="98"/>
  <c r="R21" i="98" s="1"/>
  <c r="S21" i="98" s="1"/>
  <c r="T21" i="98" s="1"/>
  <c r="L21" i="98"/>
  <c r="K21" i="98"/>
  <c r="R17" i="98"/>
  <c r="S17" i="98" s="1"/>
  <c r="T17" i="98" s="1"/>
  <c r="L17" i="98"/>
  <c r="N15" i="98"/>
  <c r="R15" i="98" s="1"/>
  <c r="S15" i="98" s="1"/>
  <c r="T15" i="98" s="1"/>
  <c r="R14" i="98"/>
  <c r="S14" i="98" s="1"/>
  <c r="T14" i="98" s="1"/>
  <c r="R12" i="98"/>
  <c r="S12" i="98" s="1"/>
  <c r="T12" i="98" s="1"/>
  <c r="L12" i="98"/>
  <c r="K12" i="98"/>
  <c r="R11" i="98"/>
  <c r="R10" i="98"/>
  <c r="S10" i="98" s="1"/>
  <c r="T10" i="98" s="1"/>
  <c r="R9" i="98"/>
  <c r="S9" i="98" s="1"/>
  <c r="T9" i="98" s="1"/>
  <c r="L9" i="98"/>
  <c r="K9" i="98"/>
  <c r="R8" i="98"/>
  <c r="R6" i="98"/>
  <c r="S6" i="98" s="1"/>
  <c r="T6" i="98" s="1"/>
  <c r="R5" i="98"/>
  <c r="S5" i="98" s="1"/>
  <c r="T5" i="98" s="1"/>
  <c r="L5" i="98"/>
  <c r="K5" i="98"/>
  <c r="P10" i="95"/>
  <c r="O8" i="95"/>
  <c r="O9" i="95"/>
  <c r="O10" i="95"/>
  <c r="N10" i="95"/>
  <c r="N9" i="95"/>
  <c r="N8" i="95"/>
  <c r="P8" i="95" s="1"/>
  <c r="O6" i="95"/>
  <c r="O7" i="95"/>
  <c r="N7" i="95"/>
  <c r="N6" i="95"/>
  <c r="O5" i="95"/>
  <c r="N5" i="95"/>
  <c r="P9" i="95"/>
  <c r="U8" i="95"/>
  <c r="U7" i="95"/>
  <c r="P7" i="95"/>
  <c r="V7" i="95" s="1"/>
  <c r="W7" i="95" s="1"/>
  <c r="U6" i="95"/>
  <c r="P6" i="95"/>
  <c r="V6" i="95" s="1"/>
  <c r="W6" i="95" s="1"/>
  <c r="U5" i="95"/>
  <c r="O5" i="94"/>
  <c r="O6" i="94"/>
  <c r="P6" i="94" s="1"/>
  <c r="O7" i="94"/>
  <c r="O8" i="94"/>
  <c r="O9" i="94"/>
  <c r="P9" i="94" s="1"/>
  <c r="O10" i="94"/>
  <c r="O11" i="94"/>
  <c r="O12" i="94"/>
  <c r="O13" i="94"/>
  <c r="O14" i="94"/>
  <c r="O15" i="94"/>
  <c r="P15" i="94" s="1"/>
  <c r="O16" i="94"/>
  <c r="P16" i="94" s="1"/>
  <c r="V16" i="94" s="1"/>
  <c r="W16" i="94" s="1"/>
  <c r="N16" i="94"/>
  <c r="N15" i="94"/>
  <c r="N14" i="94"/>
  <c r="N13" i="94"/>
  <c r="N12" i="94"/>
  <c r="N11" i="94"/>
  <c r="N10" i="94"/>
  <c r="N9" i="94"/>
  <c r="N7" i="94"/>
  <c r="N8" i="94"/>
  <c r="N6" i="94"/>
  <c r="N5" i="94"/>
  <c r="U16" i="94"/>
  <c r="U15" i="94"/>
  <c r="U14" i="94"/>
  <c r="P14" i="94"/>
  <c r="V14" i="94" s="1"/>
  <c r="W14" i="94" s="1"/>
  <c r="U13" i="94"/>
  <c r="P13" i="94"/>
  <c r="U12" i="94"/>
  <c r="P12" i="94"/>
  <c r="U11" i="94"/>
  <c r="P11" i="94"/>
  <c r="U10" i="94"/>
  <c r="U9" i="94"/>
  <c r="U8" i="94"/>
  <c r="P8" i="94"/>
  <c r="U7" i="94"/>
  <c r="P7" i="94"/>
  <c r="V7" i="94" s="1"/>
  <c r="W7" i="94" s="1"/>
  <c r="U6" i="94"/>
  <c r="U5" i="94"/>
  <c r="P5" i="94"/>
  <c r="U26" i="93"/>
  <c r="P26" i="93"/>
  <c r="O26" i="93"/>
  <c r="N26" i="93"/>
  <c r="P24" i="93"/>
  <c r="V24" i="93" s="1"/>
  <c r="W24" i="93" s="1"/>
  <c r="P25" i="93"/>
  <c r="V25" i="93" s="1"/>
  <c r="W25" i="93" s="1"/>
  <c r="O24" i="93"/>
  <c r="O25" i="93"/>
  <c r="U24" i="93"/>
  <c r="U25" i="93"/>
  <c r="N25" i="93"/>
  <c r="N24" i="93"/>
  <c r="O23" i="93"/>
  <c r="P23" i="93"/>
  <c r="U23" i="93"/>
  <c r="N23" i="93"/>
  <c r="P19" i="93"/>
  <c r="P20" i="93"/>
  <c r="P21" i="93"/>
  <c r="P22" i="93"/>
  <c r="O19" i="93"/>
  <c r="O20" i="93"/>
  <c r="O21" i="93"/>
  <c r="O22" i="93"/>
  <c r="U19" i="93"/>
  <c r="V19" i="93" s="1"/>
  <c r="W19" i="93" s="1"/>
  <c r="U20" i="93"/>
  <c r="U21" i="93"/>
  <c r="U22" i="93"/>
  <c r="N22" i="93"/>
  <c r="N21" i="93"/>
  <c r="N20" i="93"/>
  <c r="N19" i="93"/>
  <c r="U15" i="93"/>
  <c r="V15" i="93" s="1"/>
  <c r="W15" i="93" s="1"/>
  <c r="U16" i="93"/>
  <c r="V16" i="93" s="1"/>
  <c r="W16" i="93" s="1"/>
  <c r="U17" i="93"/>
  <c r="U18" i="93"/>
  <c r="P15" i="93"/>
  <c r="P16" i="93"/>
  <c r="P17" i="93"/>
  <c r="P18" i="93"/>
  <c r="O14" i="93"/>
  <c r="O15" i="93"/>
  <c r="O16" i="93"/>
  <c r="O17" i="93"/>
  <c r="O18" i="93"/>
  <c r="N18" i="93"/>
  <c r="N17" i="93"/>
  <c r="N16" i="93"/>
  <c r="N15" i="93"/>
  <c r="N14" i="93"/>
  <c r="O8" i="93"/>
  <c r="O9" i="93"/>
  <c r="O10" i="93"/>
  <c r="O11" i="93"/>
  <c r="O12" i="93"/>
  <c r="P12" i="93" s="1"/>
  <c r="O13" i="93"/>
  <c r="P13" i="93" s="1"/>
  <c r="P11" i="93"/>
  <c r="N13" i="93"/>
  <c r="N12" i="93"/>
  <c r="N11" i="93"/>
  <c r="N10" i="93"/>
  <c r="N9" i="93"/>
  <c r="N8" i="93"/>
  <c r="O7" i="93"/>
  <c r="N7" i="93"/>
  <c r="O6" i="93"/>
  <c r="N6" i="93"/>
  <c r="O5" i="93"/>
  <c r="N5" i="93"/>
  <c r="P5" i="93" s="1"/>
  <c r="U14" i="93"/>
  <c r="P14" i="93"/>
  <c r="U13" i="93"/>
  <c r="U12" i="93"/>
  <c r="U11" i="93"/>
  <c r="U10" i="93"/>
  <c r="P10" i="93"/>
  <c r="V10" i="93" s="1"/>
  <c r="W10" i="93" s="1"/>
  <c r="U9" i="93"/>
  <c r="P9" i="93"/>
  <c r="V9" i="93" s="1"/>
  <c r="W9" i="93" s="1"/>
  <c r="U8" i="93"/>
  <c r="P8" i="93"/>
  <c r="U7" i="93"/>
  <c r="P7" i="93"/>
  <c r="U6" i="93"/>
  <c r="P6" i="93"/>
  <c r="U5" i="93"/>
  <c r="O15" i="92"/>
  <c r="N15" i="92"/>
  <c r="O14" i="92"/>
  <c r="N14" i="92"/>
  <c r="P14" i="92" s="1"/>
  <c r="O13" i="92"/>
  <c r="N13" i="92"/>
  <c r="P13" i="92" s="1"/>
  <c r="O12" i="92"/>
  <c r="N12" i="92"/>
  <c r="O11" i="92"/>
  <c r="N11" i="92"/>
  <c r="O10" i="92"/>
  <c r="N10" i="92"/>
  <c r="P10" i="92" s="1"/>
  <c r="O9" i="92"/>
  <c r="N9" i="92"/>
  <c r="P9" i="92" s="1"/>
  <c r="O8" i="92"/>
  <c r="N8" i="92"/>
  <c r="O7" i="92"/>
  <c r="N7" i="92"/>
  <c r="P7" i="92" s="1"/>
  <c r="O6" i="92"/>
  <c r="N6" i="92"/>
  <c r="O5" i="92"/>
  <c r="N5" i="92"/>
  <c r="P5" i="92" s="1"/>
  <c r="U15" i="92"/>
  <c r="P15" i="92"/>
  <c r="U14" i="92"/>
  <c r="U13" i="92"/>
  <c r="U12" i="92"/>
  <c r="P12" i="92"/>
  <c r="U11" i="92"/>
  <c r="U10" i="92"/>
  <c r="U9" i="92"/>
  <c r="U8" i="92"/>
  <c r="U7" i="92"/>
  <c r="U6" i="92"/>
  <c r="P6" i="92"/>
  <c r="V6" i="92" s="1"/>
  <c r="W6" i="92" s="1"/>
  <c r="U5" i="92"/>
  <c r="O16" i="91"/>
  <c r="N16" i="91"/>
  <c r="O15" i="91"/>
  <c r="N15" i="91"/>
  <c r="O14" i="91"/>
  <c r="N14" i="91"/>
  <c r="O13" i="91"/>
  <c r="N13" i="91"/>
  <c r="P13" i="91" s="1"/>
  <c r="O12" i="91"/>
  <c r="N12" i="91"/>
  <c r="P12" i="91" s="1"/>
  <c r="N11" i="91"/>
  <c r="P11" i="91" s="1"/>
  <c r="O11" i="91"/>
  <c r="O10" i="91"/>
  <c r="N10" i="91"/>
  <c r="O9" i="91"/>
  <c r="N9" i="91"/>
  <c r="P9" i="91" s="1"/>
  <c r="O8" i="91"/>
  <c r="N8" i="91"/>
  <c r="P8" i="91" s="1"/>
  <c r="V8" i="91" s="1"/>
  <c r="W8" i="91" s="1"/>
  <c r="O5" i="91"/>
  <c r="O6" i="91"/>
  <c r="O7" i="91"/>
  <c r="N7" i="91"/>
  <c r="N6" i="91"/>
  <c r="P6" i="91" s="1"/>
  <c r="N5" i="91"/>
  <c r="P5" i="91" s="1"/>
  <c r="V5" i="91" s="1"/>
  <c r="W5" i="91" s="1"/>
  <c r="U16" i="91"/>
  <c r="P16" i="91"/>
  <c r="V16" i="91" s="1"/>
  <c r="W16" i="91" s="1"/>
  <c r="U15" i="91"/>
  <c r="P15" i="91"/>
  <c r="U14" i="91"/>
  <c r="U13" i="91"/>
  <c r="U12" i="91"/>
  <c r="U11" i="91"/>
  <c r="U10" i="91"/>
  <c r="U9" i="91"/>
  <c r="U8" i="91"/>
  <c r="U7" i="91"/>
  <c r="P7" i="91"/>
  <c r="V7" i="91" s="1"/>
  <c r="W7" i="91" s="1"/>
  <c r="U6" i="91"/>
  <c r="U5" i="91"/>
  <c r="O20" i="90"/>
  <c r="N20" i="90"/>
  <c r="P20" i="90" s="1"/>
  <c r="V20" i="90" s="1"/>
  <c r="W20" i="90" s="1"/>
  <c r="P19" i="90"/>
  <c r="V19" i="90" s="1"/>
  <c r="W19" i="90" s="1"/>
  <c r="U19" i="90"/>
  <c r="O19" i="90"/>
  <c r="N19" i="90"/>
  <c r="P18" i="90"/>
  <c r="U18" i="90"/>
  <c r="O18" i="90"/>
  <c r="N18" i="90"/>
  <c r="P17" i="90"/>
  <c r="U17" i="90"/>
  <c r="O17" i="90"/>
  <c r="N17" i="90"/>
  <c r="P12" i="90"/>
  <c r="V12" i="90" s="1"/>
  <c r="W12" i="90" s="1"/>
  <c r="U12" i="90"/>
  <c r="P13" i="90"/>
  <c r="U13" i="90"/>
  <c r="P14" i="90"/>
  <c r="U14" i="90"/>
  <c r="P15" i="90"/>
  <c r="U15" i="90"/>
  <c r="P16" i="90"/>
  <c r="U16" i="90"/>
  <c r="O12" i="90"/>
  <c r="O13" i="90"/>
  <c r="O14" i="90"/>
  <c r="O15" i="90"/>
  <c r="O16" i="90"/>
  <c r="N16" i="90"/>
  <c r="N15" i="90"/>
  <c r="N14" i="90"/>
  <c r="N13" i="90"/>
  <c r="N12" i="90"/>
  <c r="P11" i="90"/>
  <c r="U11" i="90"/>
  <c r="O11" i="90"/>
  <c r="N11" i="90"/>
  <c r="U8" i="90"/>
  <c r="U9" i="90"/>
  <c r="U10" i="90"/>
  <c r="P10" i="90"/>
  <c r="O8" i="90"/>
  <c r="O9" i="90"/>
  <c r="O10" i="90"/>
  <c r="N10" i="90"/>
  <c r="N9" i="90"/>
  <c r="N8" i="90"/>
  <c r="O7" i="90"/>
  <c r="N7" i="90"/>
  <c r="O6" i="90"/>
  <c r="N6" i="90"/>
  <c r="O5" i="90"/>
  <c r="N5" i="90"/>
  <c r="U7" i="90"/>
  <c r="P7" i="90"/>
  <c r="U6" i="90"/>
  <c r="P6" i="90"/>
  <c r="U5" i="90"/>
  <c r="P5" i="90"/>
  <c r="V5" i="90" s="1"/>
  <c r="W5" i="90" s="1"/>
  <c r="O7" i="89"/>
  <c r="N7" i="89"/>
  <c r="O6" i="89"/>
  <c r="N6" i="89"/>
  <c r="O5" i="89"/>
  <c r="N5" i="89"/>
  <c r="U7" i="89"/>
  <c r="P7" i="89"/>
  <c r="V7" i="89" s="1"/>
  <c r="W7" i="89" s="1"/>
  <c r="U6" i="89"/>
  <c r="P6" i="89"/>
  <c r="U5" i="89"/>
  <c r="O9" i="88"/>
  <c r="O10" i="88"/>
  <c r="N10" i="88"/>
  <c r="N9" i="88"/>
  <c r="O8" i="88"/>
  <c r="N8" i="88"/>
  <c r="O7" i="88"/>
  <c r="N7" i="88"/>
  <c r="P7" i="88" s="1"/>
  <c r="V7" i="88" s="1"/>
  <c r="W7" i="88" s="1"/>
  <c r="O6" i="88"/>
  <c r="N6" i="88"/>
  <c r="O5" i="88"/>
  <c r="N5" i="88"/>
  <c r="P5" i="88" s="1"/>
  <c r="U10" i="88"/>
  <c r="P10" i="88"/>
  <c r="V10" i="88" s="1"/>
  <c r="W10" i="88" s="1"/>
  <c r="U9" i="88"/>
  <c r="U8" i="88"/>
  <c r="U7" i="88"/>
  <c r="U6" i="88"/>
  <c r="U5" i="88"/>
  <c r="O16" i="87"/>
  <c r="N16" i="87"/>
  <c r="O15" i="87"/>
  <c r="N15" i="87"/>
  <c r="O14" i="87"/>
  <c r="N14" i="87"/>
  <c r="O13" i="87"/>
  <c r="N13" i="87"/>
  <c r="O12" i="87"/>
  <c r="N12" i="87"/>
  <c r="O11" i="87"/>
  <c r="N11" i="87"/>
  <c r="P11" i="87" s="1"/>
  <c r="N10" i="87"/>
  <c r="O9" i="87"/>
  <c r="N9" i="87"/>
  <c r="P9" i="87" s="1"/>
  <c r="O8" i="87"/>
  <c r="N8" i="87"/>
  <c r="O7" i="87"/>
  <c r="N7" i="87"/>
  <c r="O6" i="87"/>
  <c r="N6" i="87"/>
  <c r="O5" i="87"/>
  <c r="N5" i="87"/>
  <c r="P5" i="87" s="1"/>
  <c r="V5" i="87" s="1"/>
  <c r="W5" i="87" s="1"/>
  <c r="U16" i="87"/>
  <c r="U15" i="87"/>
  <c r="U14" i="87"/>
  <c r="U13" i="87"/>
  <c r="P13" i="87"/>
  <c r="U12" i="87"/>
  <c r="U11" i="87"/>
  <c r="U10" i="87"/>
  <c r="U9" i="87"/>
  <c r="U8" i="87"/>
  <c r="U7" i="87"/>
  <c r="P7" i="87"/>
  <c r="V7" i="87" s="1"/>
  <c r="W7" i="87" s="1"/>
  <c r="U6" i="87"/>
  <c r="U5" i="87"/>
  <c r="U6" i="86"/>
  <c r="V6" i="86" s="1"/>
  <c r="W6" i="86" s="1"/>
  <c r="P6" i="86"/>
  <c r="O6" i="86"/>
  <c r="N6" i="86"/>
  <c r="U27" i="86"/>
  <c r="P27" i="86"/>
  <c r="O27" i="86"/>
  <c r="N27" i="86"/>
  <c r="U7" i="86"/>
  <c r="P7" i="86"/>
  <c r="O7" i="86"/>
  <c r="N7" i="86"/>
  <c r="E36" i="86"/>
  <c r="F21" i="86" s="1"/>
  <c r="O30" i="86"/>
  <c r="N30" i="86"/>
  <c r="O29" i="86"/>
  <c r="N29" i="86"/>
  <c r="O28" i="86"/>
  <c r="N28" i="86"/>
  <c r="P28" i="86" s="1"/>
  <c r="U26" i="86"/>
  <c r="U28" i="86"/>
  <c r="U29" i="86"/>
  <c r="U30" i="86"/>
  <c r="O26" i="86"/>
  <c r="N26" i="86"/>
  <c r="P26" i="86" s="1"/>
  <c r="O25" i="86"/>
  <c r="N25" i="86"/>
  <c r="P25" i="86" s="1"/>
  <c r="O24" i="86"/>
  <c r="N24" i="86"/>
  <c r="O23" i="86"/>
  <c r="N23" i="86"/>
  <c r="O22" i="86"/>
  <c r="N22" i="86"/>
  <c r="U20" i="86"/>
  <c r="O19" i="86"/>
  <c r="O20" i="86"/>
  <c r="O21" i="86"/>
  <c r="N21" i="86"/>
  <c r="N20" i="86"/>
  <c r="N19" i="86"/>
  <c r="N18" i="86"/>
  <c r="O18" i="86"/>
  <c r="O17" i="86"/>
  <c r="N17" i="86"/>
  <c r="O16" i="86"/>
  <c r="N16" i="86"/>
  <c r="F37" i="86"/>
  <c r="N15" i="86"/>
  <c r="O15" i="86"/>
  <c r="O14" i="86"/>
  <c r="N14" i="86"/>
  <c r="O12" i="86"/>
  <c r="O13" i="86"/>
  <c r="N13" i="86"/>
  <c r="N12" i="86"/>
  <c r="N10" i="86"/>
  <c r="O10" i="86"/>
  <c r="N11" i="86"/>
  <c r="O11" i="86"/>
  <c r="O9" i="86"/>
  <c r="N9" i="86"/>
  <c r="O8" i="86"/>
  <c r="N8" i="86"/>
  <c r="O5" i="86"/>
  <c r="N5" i="86"/>
  <c r="U25" i="86"/>
  <c r="U24" i="86"/>
  <c r="U23" i="86"/>
  <c r="U22" i="86"/>
  <c r="U21" i="86"/>
  <c r="U19" i="86"/>
  <c r="U18" i="86"/>
  <c r="U17" i="86"/>
  <c r="U16" i="86"/>
  <c r="U15" i="86"/>
  <c r="U14" i="86"/>
  <c r="U13" i="86"/>
  <c r="U12" i="86"/>
  <c r="U11" i="86"/>
  <c r="U10" i="86"/>
  <c r="U9" i="86"/>
  <c r="U8" i="86"/>
  <c r="U5" i="86"/>
  <c r="U19" i="85"/>
  <c r="U20" i="85"/>
  <c r="U21" i="85"/>
  <c r="U22" i="85"/>
  <c r="U23" i="85"/>
  <c r="U24" i="85"/>
  <c r="O24" i="85"/>
  <c r="N24" i="85"/>
  <c r="P24" i="85" s="1"/>
  <c r="O23" i="85"/>
  <c r="N23" i="85"/>
  <c r="O22" i="85"/>
  <c r="N22" i="85"/>
  <c r="P22" i="85" s="1"/>
  <c r="O21" i="85"/>
  <c r="N21" i="85"/>
  <c r="P21" i="85" s="1"/>
  <c r="O20" i="85"/>
  <c r="N20" i="85"/>
  <c r="O19" i="85"/>
  <c r="N19" i="85"/>
  <c r="O18" i="85"/>
  <c r="N18" i="85"/>
  <c r="P18" i="85" s="1"/>
  <c r="O17" i="85"/>
  <c r="N17" i="85"/>
  <c r="P17" i="85" s="1"/>
  <c r="O16" i="85"/>
  <c r="P16" i="85" s="1"/>
  <c r="N16" i="85"/>
  <c r="O15" i="85"/>
  <c r="N15" i="85"/>
  <c r="P15" i="85" s="1"/>
  <c r="O14" i="85"/>
  <c r="N14" i="85"/>
  <c r="P14" i="85" s="1"/>
  <c r="O13" i="85"/>
  <c r="N13" i="85"/>
  <c r="O12" i="85"/>
  <c r="N12" i="85"/>
  <c r="P12" i="85" s="1"/>
  <c r="O7" i="85"/>
  <c r="O8" i="85"/>
  <c r="O10" i="85"/>
  <c r="P10" i="85" s="1"/>
  <c r="O11" i="85"/>
  <c r="N11" i="85"/>
  <c r="N10" i="85"/>
  <c r="N8" i="85"/>
  <c r="N7" i="85"/>
  <c r="P7" i="85" s="1"/>
  <c r="P9" i="85"/>
  <c r="V9" i="85" s="1"/>
  <c r="W9" i="85" s="1"/>
  <c r="O5" i="85"/>
  <c r="O6" i="85"/>
  <c r="N6" i="85"/>
  <c r="P6" i="85" s="1"/>
  <c r="N5" i="85"/>
  <c r="P5" i="85" s="1"/>
  <c r="U18" i="85"/>
  <c r="U17" i="85"/>
  <c r="U16" i="85"/>
  <c r="U15" i="85"/>
  <c r="U14" i="85"/>
  <c r="U13" i="85"/>
  <c r="U12" i="85"/>
  <c r="U11" i="85"/>
  <c r="P11" i="85"/>
  <c r="U10" i="85"/>
  <c r="U9" i="85"/>
  <c r="U8" i="85"/>
  <c r="U7" i="85"/>
  <c r="U6" i="85"/>
  <c r="U5" i="85"/>
  <c r="U17" i="84"/>
  <c r="U18" i="84"/>
  <c r="P17" i="84"/>
  <c r="O17" i="84"/>
  <c r="O18" i="84"/>
  <c r="N18" i="84"/>
  <c r="P18" i="84" s="1"/>
  <c r="V18" i="84" s="1"/>
  <c r="W18" i="84" s="1"/>
  <c r="N17" i="84"/>
  <c r="O15" i="84"/>
  <c r="O16" i="84"/>
  <c r="P16" i="84" s="1"/>
  <c r="N16" i="84"/>
  <c r="N15" i="84"/>
  <c r="O14" i="84"/>
  <c r="N14" i="84"/>
  <c r="O13" i="84"/>
  <c r="N13" i="84"/>
  <c r="O12" i="84"/>
  <c r="N12" i="84"/>
  <c r="U10" i="84"/>
  <c r="U11" i="84"/>
  <c r="U12" i="84"/>
  <c r="U13" i="84"/>
  <c r="U14" i="84"/>
  <c r="U15" i="84"/>
  <c r="P12" i="84"/>
  <c r="P14" i="84"/>
  <c r="V14" i="84" s="1"/>
  <c r="P15" i="84"/>
  <c r="O11" i="84"/>
  <c r="N11" i="84"/>
  <c r="P11" i="84" s="1"/>
  <c r="O10" i="84"/>
  <c r="N10" i="84"/>
  <c r="P10" i="84" s="1"/>
  <c r="O9" i="84"/>
  <c r="N9" i="84"/>
  <c r="P9" i="84" s="1"/>
  <c r="O8" i="84"/>
  <c r="N8" i="84"/>
  <c r="P8" i="84" s="1"/>
  <c r="O5" i="84"/>
  <c r="O6" i="84"/>
  <c r="O7" i="84"/>
  <c r="N6" i="84"/>
  <c r="N7" i="84"/>
  <c r="N5" i="84"/>
  <c r="P5" i="84" s="1"/>
  <c r="U16" i="84"/>
  <c r="U9" i="84"/>
  <c r="U8" i="84"/>
  <c r="U7" i="84"/>
  <c r="U6" i="84"/>
  <c r="U5" i="84"/>
  <c r="S22" i="98" l="1"/>
  <c r="T22" i="98" s="1"/>
  <c r="S24" i="98"/>
  <c r="T24" i="98" s="1"/>
  <c r="S8" i="98"/>
  <c r="T8" i="98" s="1"/>
  <c r="S11" i="98"/>
  <c r="T11" i="98" s="1"/>
  <c r="P5" i="95"/>
  <c r="V5" i="95"/>
  <c r="W5" i="95" s="1"/>
  <c r="V8" i="95"/>
  <c r="W8" i="95" s="1"/>
  <c r="V13" i="94"/>
  <c r="W13" i="94" s="1"/>
  <c r="V11" i="94"/>
  <c r="W11" i="94" s="1"/>
  <c r="V8" i="94"/>
  <c r="W8" i="94" s="1"/>
  <c r="V5" i="94"/>
  <c r="W5" i="94" s="1"/>
  <c r="P10" i="94"/>
  <c r="V10" i="94" s="1"/>
  <c r="W10" i="94" s="1"/>
  <c r="V6" i="94"/>
  <c r="W6" i="94" s="1"/>
  <c r="V9" i="94"/>
  <c r="W9" i="94" s="1"/>
  <c r="V12" i="94"/>
  <c r="W12" i="94" s="1"/>
  <c r="V15" i="94"/>
  <c r="W15" i="94" s="1"/>
  <c r="V23" i="93"/>
  <c r="W23" i="93" s="1"/>
  <c r="V26" i="93"/>
  <c r="W26" i="93" s="1"/>
  <c r="V22" i="93"/>
  <c r="W22" i="93" s="1"/>
  <c r="V18" i="93"/>
  <c r="W18" i="93" s="1"/>
  <c r="V20" i="93"/>
  <c r="W20" i="93" s="1"/>
  <c r="V17" i="93"/>
  <c r="W17" i="93" s="1"/>
  <c r="V21" i="93"/>
  <c r="W21" i="93" s="1"/>
  <c r="V14" i="93"/>
  <c r="W14" i="93" s="1"/>
  <c r="V13" i="93"/>
  <c r="W13" i="93" s="1"/>
  <c r="V12" i="93"/>
  <c r="W12" i="93" s="1"/>
  <c r="V11" i="93"/>
  <c r="W11" i="93" s="1"/>
  <c r="V8" i="93"/>
  <c r="W8" i="93" s="1"/>
  <c r="V5" i="93"/>
  <c r="W5" i="93" s="1"/>
  <c r="V6" i="93"/>
  <c r="W6" i="93" s="1"/>
  <c r="V7" i="93"/>
  <c r="W7" i="93" s="1"/>
  <c r="V12" i="92"/>
  <c r="W12" i="92" s="1"/>
  <c r="V7" i="92"/>
  <c r="W7" i="92" s="1"/>
  <c r="P8" i="92"/>
  <c r="P11" i="92"/>
  <c r="V11" i="92" s="1"/>
  <c r="W11" i="92" s="1"/>
  <c r="V14" i="92"/>
  <c r="W14" i="92" s="1"/>
  <c r="V10" i="92"/>
  <c r="W10" i="92" s="1"/>
  <c r="V8" i="92"/>
  <c r="W8" i="92" s="1"/>
  <c r="V5" i="92"/>
  <c r="W5" i="92" s="1"/>
  <c r="V15" i="92"/>
  <c r="W15" i="92" s="1"/>
  <c r="V13" i="92"/>
  <c r="W13" i="92" s="1"/>
  <c r="V9" i="92"/>
  <c r="W9" i="92" s="1"/>
  <c r="P14" i="91"/>
  <c r="V14" i="91"/>
  <c r="W14" i="91" s="1"/>
  <c r="V15" i="91"/>
  <c r="W15" i="91" s="1"/>
  <c r="V13" i="91"/>
  <c r="W13" i="91" s="1"/>
  <c r="V12" i="91"/>
  <c r="W12" i="91" s="1"/>
  <c r="V11" i="91"/>
  <c r="W11" i="91" s="1"/>
  <c r="P10" i="91"/>
  <c r="V10" i="91" s="1"/>
  <c r="W10" i="91" s="1"/>
  <c r="V9" i="91"/>
  <c r="W9" i="91" s="1"/>
  <c r="V6" i="91"/>
  <c r="W6" i="91" s="1"/>
  <c r="V14" i="90"/>
  <c r="W14" i="90" s="1"/>
  <c r="V18" i="90"/>
  <c r="W18" i="90" s="1"/>
  <c r="V17" i="90"/>
  <c r="W17" i="90" s="1"/>
  <c r="V16" i="90"/>
  <c r="W16" i="90" s="1"/>
  <c r="V15" i="90"/>
  <c r="W15" i="90" s="1"/>
  <c r="V13" i="90"/>
  <c r="W13" i="90" s="1"/>
  <c r="V11" i="90"/>
  <c r="W11" i="90" s="1"/>
  <c r="P8" i="90"/>
  <c r="P9" i="90"/>
  <c r="V10" i="90"/>
  <c r="W10" i="90" s="1"/>
  <c r="V9" i="90"/>
  <c r="W9" i="90" s="1"/>
  <c r="V8" i="90"/>
  <c r="W8" i="90" s="1"/>
  <c r="V7" i="90"/>
  <c r="W7" i="90" s="1"/>
  <c r="V6" i="90"/>
  <c r="W6" i="90" s="1"/>
  <c r="P5" i="89"/>
  <c r="V6" i="89"/>
  <c r="W6" i="89" s="1"/>
  <c r="V5" i="89"/>
  <c r="W5" i="89" s="1"/>
  <c r="P6" i="88"/>
  <c r="V5" i="88"/>
  <c r="W5" i="88" s="1"/>
  <c r="P9" i="88"/>
  <c r="V9" i="88" s="1"/>
  <c r="W9" i="88" s="1"/>
  <c r="P8" i="88"/>
  <c r="V8" i="88" s="1"/>
  <c r="W8" i="88" s="1"/>
  <c r="V6" i="88"/>
  <c r="W6" i="88" s="1"/>
  <c r="P15" i="87"/>
  <c r="V15" i="87"/>
  <c r="W15" i="87" s="1"/>
  <c r="V13" i="87"/>
  <c r="W13" i="87" s="1"/>
  <c r="V11" i="87"/>
  <c r="W11" i="87" s="1"/>
  <c r="V9" i="87"/>
  <c r="W9" i="87" s="1"/>
  <c r="P6" i="87"/>
  <c r="V6" i="87" s="1"/>
  <c r="W6" i="87" s="1"/>
  <c r="P8" i="87"/>
  <c r="V8" i="87" s="1"/>
  <c r="W8" i="87" s="1"/>
  <c r="P10" i="87"/>
  <c r="V10" i="87" s="1"/>
  <c r="W10" i="87" s="1"/>
  <c r="P12" i="87"/>
  <c r="V12" i="87" s="1"/>
  <c r="W12" i="87" s="1"/>
  <c r="P14" i="87"/>
  <c r="V14" i="87" s="1"/>
  <c r="W14" i="87" s="1"/>
  <c r="P16" i="87"/>
  <c r="V16" i="87" s="1"/>
  <c r="W16" i="87" s="1"/>
  <c r="P24" i="86"/>
  <c r="V27" i="86"/>
  <c r="W27" i="86" s="1"/>
  <c r="P29" i="86"/>
  <c r="P30" i="86"/>
  <c r="V7" i="86"/>
  <c r="W7" i="86" s="1"/>
  <c r="P17" i="86"/>
  <c r="V17" i="86" s="1"/>
  <c r="W17" i="86" s="1"/>
  <c r="P13" i="86"/>
  <c r="V13" i="86" s="1"/>
  <c r="W13" i="86" s="1"/>
  <c r="P20" i="86"/>
  <c r="V20" i="86" s="1"/>
  <c r="W20" i="86" s="1"/>
  <c r="P23" i="86"/>
  <c r="V23" i="86" s="1"/>
  <c r="W23" i="86" s="1"/>
  <c r="V26" i="86"/>
  <c r="W26" i="86" s="1"/>
  <c r="P10" i="86"/>
  <c r="V10" i="86" s="1"/>
  <c r="W10" i="86" s="1"/>
  <c r="P14" i="86"/>
  <c r="V14" i="86" s="1"/>
  <c r="W14" i="86" s="1"/>
  <c r="P22" i="86"/>
  <c r="V28" i="86"/>
  <c r="W28" i="86" s="1"/>
  <c r="V29" i="86"/>
  <c r="W29" i="86" s="1"/>
  <c r="V30" i="86"/>
  <c r="W30" i="86" s="1"/>
  <c r="P16" i="86"/>
  <c r="V16" i="86" s="1"/>
  <c r="W16" i="86" s="1"/>
  <c r="P19" i="86"/>
  <c r="V19" i="86" s="1"/>
  <c r="W19" i="86" s="1"/>
  <c r="P5" i="86"/>
  <c r="P21" i="86"/>
  <c r="V21" i="86" s="1"/>
  <c r="W21" i="86" s="1"/>
  <c r="P8" i="86"/>
  <c r="V8" i="86" s="1"/>
  <c r="W8" i="86" s="1"/>
  <c r="P12" i="86"/>
  <c r="V12" i="86" s="1"/>
  <c r="W12" i="86" s="1"/>
  <c r="V24" i="86"/>
  <c r="W24" i="86" s="1"/>
  <c r="P11" i="86"/>
  <c r="V11" i="86" s="1"/>
  <c r="W11" i="86" s="1"/>
  <c r="P9" i="86"/>
  <c r="V9" i="86" s="1"/>
  <c r="W9" i="86" s="1"/>
  <c r="P15" i="86"/>
  <c r="V15" i="86" s="1"/>
  <c r="W15" i="86" s="1"/>
  <c r="P18" i="86"/>
  <c r="V18" i="86" s="1"/>
  <c r="W18" i="86" s="1"/>
  <c r="V25" i="86"/>
  <c r="W25" i="86" s="1"/>
  <c r="F19" i="86"/>
  <c r="F20" i="86"/>
  <c r="V22" i="86"/>
  <c r="W22" i="86" s="1"/>
  <c r="V5" i="86"/>
  <c r="W5" i="86" s="1"/>
  <c r="P19" i="85"/>
  <c r="V19" i="85" s="1"/>
  <c r="W19" i="85" s="1"/>
  <c r="V22" i="85"/>
  <c r="W22" i="85" s="1"/>
  <c r="P23" i="85"/>
  <c r="V23" i="85" s="1"/>
  <c r="W23" i="85" s="1"/>
  <c r="P20" i="85"/>
  <c r="V20" i="85" s="1"/>
  <c r="W20" i="85" s="1"/>
  <c r="V21" i="85"/>
  <c r="W21" i="85" s="1"/>
  <c r="V24" i="85"/>
  <c r="W24" i="85" s="1"/>
  <c r="V18" i="85"/>
  <c r="W18" i="85" s="1"/>
  <c r="V16" i="85"/>
  <c r="W16" i="85" s="1"/>
  <c r="V15" i="85"/>
  <c r="W15" i="85" s="1"/>
  <c r="V14" i="85"/>
  <c r="W14" i="85" s="1"/>
  <c r="V12" i="85"/>
  <c r="W12" i="85" s="1"/>
  <c r="P13" i="85"/>
  <c r="V13" i="85" s="1"/>
  <c r="W13" i="85" s="1"/>
  <c r="V11" i="85"/>
  <c r="W11" i="85" s="1"/>
  <c r="V10" i="85"/>
  <c r="W10" i="85" s="1"/>
  <c r="V7" i="85"/>
  <c r="W7" i="85" s="1"/>
  <c r="P8" i="85"/>
  <c r="V8" i="85" s="1"/>
  <c r="W8" i="85" s="1"/>
  <c r="V6" i="85"/>
  <c r="W6" i="85" s="1"/>
  <c r="V5" i="85"/>
  <c r="W5" i="85" s="1"/>
  <c r="V17" i="85"/>
  <c r="W17" i="85" s="1"/>
  <c r="P7" i="84"/>
  <c r="P13" i="84"/>
  <c r="V17" i="84"/>
  <c r="W17" i="84" s="1"/>
  <c r="V15" i="84"/>
  <c r="W15" i="84" s="1"/>
  <c r="W14" i="84"/>
  <c r="V13" i="84"/>
  <c r="W13" i="84" s="1"/>
  <c r="V12" i="84"/>
  <c r="W12" i="84" s="1"/>
  <c r="V11" i="84"/>
  <c r="W11" i="84" s="1"/>
  <c r="P6" i="84"/>
  <c r="V6" i="84" s="1"/>
  <c r="W6" i="84" s="1"/>
  <c r="V10" i="84"/>
  <c r="W10" i="84" s="1"/>
  <c r="V5" i="84"/>
  <c r="W5" i="84" s="1"/>
  <c r="V9" i="84"/>
  <c r="W9" i="84" s="1"/>
  <c r="V8" i="84"/>
  <c r="W8" i="84" s="1"/>
  <c r="V16" i="84"/>
  <c r="W16" i="84" s="1"/>
  <c r="V7" i="84"/>
  <c r="W7" i="84" s="1"/>
  <c r="U11" i="83"/>
  <c r="P11" i="83"/>
  <c r="O13" i="83"/>
  <c r="P13" i="83" s="1"/>
  <c r="N13" i="83"/>
  <c r="O10" i="83"/>
  <c r="N10" i="83"/>
  <c r="O9" i="83"/>
  <c r="N9" i="83"/>
  <c r="O8" i="83"/>
  <c r="N8" i="83"/>
  <c r="O7" i="83"/>
  <c r="N7" i="83"/>
  <c r="P7" i="83" s="1"/>
  <c r="O5" i="83"/>
  <c r="N5" i="83"/>
  <c r="U15" i="83"/>
  <c r="U14" i="83"/>
  <c r="U13" i="83"/>
  <c r="U12" i="83"/>
  <c r="P12" i="83"/>
  <c r="U10" i="83"/>
  <c r="U9" i="83"/>
  <c r="U8" i="83"/>
  <c r="U7" i="83"/>
  <c r="U5" i="83"/>
  <c r="V11" i="83" l="1"/>
  <c r="W11" i="83" s="1"/>
  <c r="P10" i="83"/>
  <c r="V10" i="83" s="1"/>
  <c r="W10" i="83" s="1"/>
  <c r="P8" i="83"/>
  <c r="V8" i="83" s="1"/>
  <c r="W8" i="83" s="1"/>
  <c r="P9" i="83"/>
  <c r="V9" i="83" s="1"/>
  <c r="W9" i="83" s="1"/>
  <c r="V12" i="83"/>
  <c r="W12" i="83" s="1"/>
  <c r="P5" i="83"/>
  <c r="V5" i="83" s="1"/>
  <c r="W5" i="83" s="1"/>
  <c r="V13" i="83"/>
  <c r="W13" i="83" s="1"/>
  <c r="V7" i="83"/>
  <c r="W7" i="83" s="1"/>
  <c r="U10" i="82"/>
  <c r="V10" i="82" s="1"/>
  <c r="W10" i="82" s="1"/>
  <c r="U11" i="82"/>
  <c r="V11" i="82" s="1"/>
  <c r="W11" i="82" s="1"/>
  <c r="U12" i="82"/>
  <c r="U13" i="82"/>
  <c r="V13" i="82" s="1"/>
  <c r="W13" i="82" s="1"/>
  <c r="U14" i="82"/>
  <c r="U15" i="82"/>
  <c r="O15" i="82"/>
  <c r="N15" i="82"/>
  <c r="O14" i="82"/>
  <c r="P14" i="82" s="1"/>
  <c r="N14" i="82"/>
  <c r="O13" i="82"/>
  <c r="N13" i="82"/>
  <c r="P13" i="82" s="1"/>
  <c r="U6" i="82"/>
  <c r="U7" i="82"/>
  <c r="U8" i="82"/>
  <c r="U9" i="82"/>
  <c r="P10" i="82"/>
  <c r="P11" i="82"/>
  <c r="O12" i="82"/>
  <c r="N12" i="82"/>
  <c r="O9" i="82"/>
  <c r="N9" i="82"/>
  <c r="N8" i="82"/>
  <c r="O8" i="82"/>
  <c r="O7" i="82"/>
  <c r="N7" i="82"/>
  <c r="O6" i="82"/>
  <c r="N6" i="82"/>
  <c r="O5" i="82"/>
  <c r="N5" i="82"/>
  <c r="U5" i="82"/>
  <c r="P15" i="82" l="1"/>
  <c r="V15" i="82"/>
  <c r="W15" i="82" s="1"/>
  <c r="V14" i="82"/>
  <c r="W14" i="82" s="1"/>
  <c r="P12" i="82"/>
  <c r="V12" i="82" s="1"/>
  <c r="W12" i="82" s="1"/>
  <c r="P6" i="82"/>
  <c r="V6" i="82" s="1"/>
  <c r="W6" i="82" s="1"/>
  <c r="P9" i="82"/>
  <c r="P8" i="82"/>
  <c r="V8" i="82" s="1"/>
  <c r="W8" i="82" s="1"/>
  <c r="P7" i="82"/>
  <c r="V7" i="82" s="1"/>
  <c r="W7" i="82" s="1"/>
  <c r="V9" i="82"/>
  <c r="W9" i="82" s="1"/>
  <c r="P5" i="82"/>
  <c r="V5" i="82" s="1"/>
  <c r="W5" i="82" s="1"/>
  <c r="U7" i="81"/>
  <c r="O11" i="81"/>
  <c r="O14" i="81"/>
  <c r="P14" i="81" s="1"/>
  <c r="V14" i="81" s="1"/>
  <c r="W14" i="81" s="1"/>
  <c r="O17" i="81"/>
  <c r="N17" i="81"/>
  <c r="N11" i="81"/>
  <c r="P11" i="81" s="1"/>
  <c r="V11" i="81" s="1"/>
  <c r="W11" i="81" s="1"/>
  <c r="N14" i="81"/>
  <c r="O10" i="81"/>
  <c r="N10" i="81"/>
  <c r="O9" i="81"/>
  <c r="N9" i="81"/>
  <c r="P9" i="81" s="1"/>
  <c r="O8" i="81"/>
  <c r="N8" i="81"/>
  <c r="O7" i="81"/>
  <c r="N7" i="81"/>
  <c r="O6" i="81"/>
  <c r="N6" i="81"/>
  <c r="O5" i="81"/>
  <c r="N5" i="81"/>
  <c r="U10" i="81"/>
  <c r="U9" i="81"/>
  <c r="U8" i="81"/>
  <c r="U6" i="81"/>
  <c r="U5" i="81"/>
  <c r="P5" i="81"/>
  <c r="P17" i="81" l="1"/>
  <c r="V17" i="81" s="1"/>
  <c r="W17" i="81" s="1"/>
  <c r="P10" i="81"/>
  <c r="V10" i="81" s="1"/>
  <c r="W10" i="81" s="1"/>
  <c r="P7" i="81"/>
  <c r="V7" i="81" s="1"/>
  <c r="W7" i="81" s="1"/>
  <c r="P8" i="81"/>
  <c r="V8" i="81"/>
  <c r="W8" i="81" s="1"/>
  <c r="P6" i="81"/>
  <c r="V6" i="81" s="1"/>
  <c r="W6" i="81" s="1"/>
  <c r="V9" i="81"/>
  <c r="W9" i="81" s="1"/>
  <c r="V5" i="81"/>
  <c r="W5" i="81" s="1"/>
  <c r="U9" i="79"/>
  <c r="P6" i="79"/>
  <c r="O9" i="79"/>
  <c r="P9" i="79" s="1"/>
  <c r="V9" i="79" s="1"/>
  <c r="W9" i="79" s="1"/>
  <c r="O10" i="79"/>
  <c r="P10" i="79" s="1"/>
  <c r="N10" i="79"/>
  <c r="N9" i="79"/>
  <c r="O8" i="79"/>
  <c r="N8" i="79"/>
  <c r="P8" i="79" s="1"/>
  <c r="O7" i="79"/>
  <c r="N7" i="79"/>
  <c r="P7" i="79" s="1"/>
  <c r="O6" i="79"/>
  <c r="N6" i="79"/>
  <c r="O5" i="79"/>
  <c r="N5" i="79"/>
  <c r="U10" i="79"/>
  <c r="U8" i="79"/>
  <c r="U7" i="79"/>
  <c r="U6" i="79"/>
  <c r="U5" i="79"/>
  <c r="P5" i="79"/>
  <c r="V10" i="79" l="1"/>
  <c r="W10" i="79" s="1"/>
  <c r="V6" i="79"/>
  <c r="W6" i="79" s="1"/>
  <c r="V5" i="79"/>
  <c r="W5" i="79" s="1"/>
  <c r="V7" i="79"/>
  <c r="W7" i="79" s="1"/>
  <c r="V8" i="79"/>
  <c r="W8" i="79" s="1"/>
  <c r="U8" i="78"/>
  <c r="U9" i="78"/>
  <c r="U10" i="78"/>
  <c r="O10" i="78"/>
  <c r="N10" i="78"/>
  <c r="O9" i="78"/>
  <c r="N9" i="78"/>
  <c r="P9" i="78" s="1"/>
  <c r="V9" i="78" s="1"/>
  <c r="W9" i="78" s="1"/>
  <c r="P8" i="78"/>
  <c r="P10" i="78"/>
  <c r="V10" i="78" s="1"/>
  <c r="W10" i="78" s="1"/>
  <c r="O7" i="78"/>
  <c r="N7" i="78"/>
  <c r="O6" i="78"/>
  <c r="N6" i="78"/>
  <c r="O5" i="78"/>
  <c r="N5" i="78"/>
  <c r="U7" i="78"/>
  <c r="P7" i="78"/>
  <c r="U6" i="78"/>
  <c r="P6" i="78"/>
  <c r="U5" i="78"/>
  <c r="P5" i="78"/>
  <c r="V5" i="78" s="1"/>
  <c r="W5" i="78" s="1"/>
  <c r="V8" i="78" l="1"/>
  <c r="W8" i="78" s="1"/>
  <c r="V6" i="78"/>
  <c r="W6" i="78" s="1"/>
  <c r="V7" i="78"/>
  <c r="W7" i="78" s="1"/>
  <c r="U7" i="77"/>
  <c r="P7" i="77"/>
  <c r="V7" i="77" s="1"/>
  <c r="W7" i="77" s="1"/>
  <c r="U6" i="77"/>
  <c r="P6" i="77"/>
  <c r="U5" i="77"/>
  <c r="P5" i="77"/>
  <c r="V6" i="77" l="1"/>
  <c r="W6" i="77" s="1"/>
  <c r="V5" i="77"/>
  <c r="W5" i="77" s="1"/>
  <c r="O7" i="76"/>
  <c r="N7" i="76"/>
  <c r="O6" i="76"/>
  <c r="N6" i="76"/>
  <c r="O5" i="76"/>
  <c r="N5" i="76"/>
  <c r="U7" i="76"/>
  <c r="P7" i="76"/>
  <c r="V7" i="76" s="1"/>
  <c r="W7" i="76" s="1"/>
  <c r="U6" i="76"/>
  <c r="U5" i="76"/>
  <c r="P6" i="76" l="1"/>
  <c r="P5" i="76"/>
  <c r="V5" i="76" s="1"/>
  <c r="W5" i="76" s="1"/>
  <c r="V6" i="76"/>
  <c r="W6" i="76" s="1"/>
  <c r="U6" i="75"/>
  <c r="U7" i="75"/>
  <c r="U8" i="75"/>
  <c r="U9" i="75"/>
  <c r="U10" i="75"/>
  <c r="U11" i="75"/>
  <c r="O11" i="75"/>
  <c r="N11" i="75"/>
  <c r="P11" i="75" s="1"/>
  <c r="O10" i="75"/>
  <c r="N10" i="75"/>
  <c r="O9" i="75"/>
  <c r="N9" i="75"/>
  <c r="P9" i="75" s="1"/>
  <c r="O8" i="75"/>
  <c r="N8" i="75"/>
  <c r="P8" i="75" s="1"/>
  <c r="O6" i="75"/>
  <c r="N6" i="75"/>
  <c r="P7" i="75"/>
  <c r="U5" i="75"/>
  <c r="P5" i="75"/>
  <c r="P6" i="75" l="1"/>
  <c r="P10" i="75"/>
  <c r="V11" i="75"/>
  <c r="W11" i="75" s="1"/>
  <c r="V8" i="75"/>
  <c r="W8" i="75" s="1"/>
  <c r="V10" i="75"/>
  <c r="W10" i="75" s="1"/>
  <c r="V9" i="75"/>
  <c r="W9" i="75" s="1"/>
  <c r="V7" i="75"/>
  <c r="W7" i="75" s="1"/>
  <c r="V6" i="75"/>
  <c r="W6" i="75" s="1"/>
  <c r="V5" i="75"/>
  <c r="W5" i="75" s="1"/>
  <c r="O6" i="74"/>
  <c r="P6" i="74" s="1"/>
  <c r="O7" i="74"/>
  <c r="N7" i="74"/>
  <c r="N6" i="74"/>
  <c r="O5" i="74"/>
  <c r="N5" i="74"/>
  <c r="U7" i="74"/>
  <c r="U6" i="74"/>
  <c r="U5" i="74"/>
  <c r="P7" i="74" l="1"/>
  <c r="P5" i="74"/>
  <c r="V5" i="74" s="1"/>
  <c r="W5" i="74" s="1"/>
  <c r="V7" i="74"/>
  <c r="W7" i="74" s="1"/>
  <c r="V6" i="74"/>
  <c r="W6" i="74" s="1"/>
  <c r="O8" i="73"/>
  <c r="N8" i="73"/>
  <c r="O6" i="73"/>
  <c r="N6" i="73"/>
  <c r="O5" i="73"/>
  <c r="N5" i="73"/>
  <c r="U8" i="73"/>
  <c r="P8" i="73"/>
  <c r="U7" i="73"/>
  <c r="P7" i="73"/>
  <c r="U6" i="73"/>
  <c r="U5" i="73"/>
  <c r="V8" i="73" l="1"/>
  <c r="W8" i="73" s="1"/>
  <c r="V7" i="73"/>
  <c r="W7" i="73" s="1"/>
  <c r="P5" i="73"/>
  <c r="P6" i="73"/>
  <c r="V6" i="73" s="1"/>
  <c r="W6" i="73" s="1"/>
  <c r="V5" i="73"/>
  <c r="W5" i="73" s="1"/>
  <c r="U6" i="72"/>
  <c r="U7" i="72"/>
  <c r="U8" i="72"/>
  <c r="U9" i="72"/>
  <c r="U10" i="72"/>
  <c r="U11" i="72"/>
  <c r="U12" i="72"/>
  <c r="U5" i="72"/>
  <c r="P7" i="72"/>
  <c r="P9" i="72"/>
  <c r="O12" i="72"/>
  <c r="N12" i="72"/>
  <c r="P12" i="72" s="1"/>
  <c r="O11" i="72"/>
  <c r="P11" i="72" s="1"/>
  <c r="N11" i="72"/>
  <c r="O10" i="72"/>
  <c r="N10" i="72"/>
  <c r="P10" i="72" s="1"/>
  <c r="O9" i="72"/>
  <c r="N9" i="72"/>
  <c r="O8" i="72"/>
  <c r="P8" i="72" s="1"/>
  <c r="N8" i="72"/>
  <c r="O7" i="72"/>
  <c r="N7" i="72"/>
  <c r="O6" i="72"/>
  <c r="N6" i="72"/>
  <c r="P6" i="72" s="1"/>
  <c r="V6" i="72" s="1"/>
  <c r="W6" i="72" s="1"/>
  <c r="O5" i="72"/>
  <c r="P5" i="72" s="1"/>
  <c r="N5" i="72"/>
  <c r="V12" i="72" l="1"/>
  <c r="W12" i="72" s="1"/>
  <c r="V11" i="72"/>
  <c r="W11" i="72" s="1"/>
  <c r="V5" i="72"/>
  <c r="W5" i="72" s="1"/>
  <c r="V9" i="72"/>
  <c r="W9" i="72" s="1"/>
  <c r="V8" i="72"/>
  <c r="W8" i="72" s="1"/>
  <c r="V7" i="72"/>
  <c r="W7" i="72" s="1"/>
  <c r="V10" i="72"/>
  <c r="W10" i="72" s="1"/>
  <c r="U5" i="71"/>
  <c r="V5" i="71" s="1"/>
  <c r="W5" i="71" s="1"/>
  <c r="O5" i="71"/>
  <c r="N5" i="71"/>
  <c r="P5" i="71" s="1"/>
  <c r="O6" i="70" l="1"/>
  <c r="N6" i="70"/>
  <c r="P6" i="70" s="1"/>
  <c r="O5" i="70"/>
  <c r="N5" i="70"/>
  <c r="U6" i="70"/>
  <c r="U5" i="70"/>
  <c r="V6" i="70" l="1"/>
  <c r="W6" i="70" s="1"/>
  <c r="P5" i="70"/>
  <c r="V5" i="70" s="1"/>
  <c r="W5" i="70" s="1"/>
  <c r="O8" i="69"/>
  <c r="N8" i="69"/>
  <c r="O6" i="69"/>
  <c r="N6" i="69"/>
  <c r="P6" i="69" s="1"/>
  <c r="U11" i="69"/>
  <c r="P11" i="69"/>
  <c r="U10" i="69"/>
  <c r="P10" i="69"/>
  <c r="U9" i="69"/>
  <c r="P9" i="69"/>
  <c r="U8" i="69"/>
  <c r="U7" i="69"/>
  <c r="P7" i="69"/>
  <c r="U6" i="69"/>
  <c r="U5" i="69"/>
  <c r="P5" i="69"/>
  <c r="P8" i="69" l="1"/>
  <c r="V11" i="69"/>
  <c r="W11" i="69" s="1"/>
  <c r="V10" i="69"/>
  <c r="W10" i="69" s="1"/>
  <c r="V9" i="69"/>
  <c r="W9" i="69" s="1"/>
  <c r="V8" i="69"/>
  <c r="W8" i="69" s="1"/>
  <c r="V7" i="69"/>
  <c r="W7" i="69" s="1"/>
  <c r="V6" i="69"/>
  <c r="W6" i="69" s="1"/>
  <c r="V5" i="69"/>
  <c r="W5" i="69" s="1"/>
  <c r="P7" i="67"/>
  <c r="P8" i="67"/>
  <c r="P9" i="67"/>
  <c r="P10" i="67"/>
  <c r="P11" i="67"/>
  <c r="P12" i="67"/>
  <c r="P13" i="67"/>
  <c r="P14" i="67"/>
  <c r="P15" i="67"/>
  <c r="P16" i="67"/>
  <c r="P17" i="67"/>
  <c r="P18" i="67"/>
  <c r="P19" i="67"/>
  <c r="P20" i="67"/>
  <c r="P21" i="67"/>
  <c r="P22" i="67"/>
  <c r="P23" i="67"/>
  <c r="P24" i="67"/>
  <c r="P25" i="67"/>
  <c r="P26" i="67"/>
  <c r="P27" i="67"/>
  <c r="P28" i="67"/>
  <c r="P29" i="67"/>
  <c r="U8" i="67"/>
  <c r="U9" i="67"/>
  <c r="U10" i="67"/>
  <c r="U11" i="67"/>
  <c r="V11" i="67" s="1"/>
  <c r="W11" i="67" s="1"/>
  <c r="U12" i="67"/>
  <c r="V12" i="67" s="1"/>
  <c r="W12" i="67" s="1"/>
  <c r="U13" i="67"/>
  <c r="U14" i="67"/>
  <c r="U15" i="67"/>
  <c r="U16" i="67"/>
  <c r="U17" i="67"/>
  <c r="V17" i="67" s="1"/>
  <c r="W17" i="67" s="1"/>
  <c r="U18" i="67"/>
  <c r="V18" i="67" s="1"/>
  <c r="W18" i="67" s="1"/>
  <c r="U19" i="67"/>
  <c r="U20" i="67"/>
  <c r="U21" i="67"/>
  <c r="U22" i="67"/>
  <c r="U23" i="67"/>
  <c r="V23" i="67" s="1"/>
  <c r="W23" i="67" s="1"/>
  <c r="U24" i="67"/>
  <c r="V24" i="67" s="1"/>
  <c r="W24" i="67" s="1"/>
  <c r="U25" i="67"/>
  <c r="U26" i="67"/>
  <c r="U27" i="67"/>
  <c r="U28" i="67"/>
  <c r="U29" i="67"/>
  <c r="V29" i="67" s="1"/>
  <c r="W29" i="67" s="1"/>
  <c r="U7" i="67"/>
  <c r="U6" i="67"/>
  <c r="P6" i="67"/>
  <c r="U5" i="67"/>
  <c r="P5" i="67"/>
  <c r="V25" i="67" l="1"/>
  <c r="W25" i="67" s="1"/>
  <c r="V19" i="67"/>
  <c r="W19" i="67" s="1"/>
  <c r="V13" i="67"/>
  <c r="W13" i="67" s="1"/>
  <c r="V28" i="67"/>
  <c r="W28" i="67" s="1"/>
  <c r="V22" i="67"/>
  <c r="W22" i="67" s="1"/>
  <c r="V16" i="67"/>
  <c r="W16" i="67" s="1"/>
  <c r="V26" i="67"/>
  <c r="W26" i="67" s="1"/>
  <c r="V20" i="67"/>
  <c r="W20" i="67" s="1"/>
  <c r="V14" i="67"/>
  <c r="W14" i="67" s="1"/>
  <c r="V8" i="67"/>
  <c r="W8" i="67" s="1"/>
  <c r="V10" i="67"/>
  <c r="W10" i="67" s="1"/>
  <c r="V27" i="67"/>
  <c r="W27" i="67" s="1"/>
  <c r="V21" i="67"/>
  <c r="W21" i="67" s="1"/>
  <c r="V15" i="67"/>
  <c r="W15" i="67" s="1"/>
  <c r="V9" i="67"/>
  <c r="W9" i="67" s="1"/>
  <c r="V5" i="67"/>
  <c r="W5" i="67" s="1"/>
  <c r="V7" i="67"/>
  <c r="W7" i="67" s="1"/>
  <c r="V6" i="67"/>
  <c r="W6" i="67" s="1"/>
  <c r="O7" i="66"/>
  <c r="N7" i="66"/>
  <c r="U7" i="66"/>
  <c r="P7" i="66"/>
  <c r="O6" i="66"/>
  <c r="N6" i="66"/>
  <c r="P6" i="66" s="1"/>
  <c r="O5" i="66"/>
  <c r="N5" i="66"/>
  <c r="U6" i="66"/>
  <c r="U5" i="66"/>
  <c r="P5" i="66" l="1"/>
  <c r="V7" i="66"/>
  <c r="W7" i="66" s="1"/>
  <c r="V5" i="66"/>
  <c r="W5" i="66" s="1"/>
  <c r="V6" i="66"/>
  <c r="W6" i="66" s="1"/>
  <c r="O5" i="65"/>
  <c r="N5" i="65"/>
  <c r="U5" i="65"/>
  <c r="P5" i="65" l="1"/>
  <c r="V5" i="65" s="1"/>
  <c r="W5" i="65" s="1"/>
  <c r="O5" i="64"/>
  <c r="N5" i="64"/>
  <c r="P5" i="64" s="1"/>
  <c r="U5" i="64"/>
  <c r="V5" i="64" l="1"/>
  <c r="W5" i="64" s="1"/>
  <c r="O8" i="63"/>
  <c r="N8" i="63"/>
  <c r="O7" i="63"/>
  <c r="N7" i="63"/>
  <c r="P7" i="63" s="1"/>
  <c r="N6" i="63"/>
  <c r="P6" i="63" s="1"/>
  <c r="O6" i="63"/>
  <c r="O5" i="63"/>
  <c r="N5" i="63"/>
  <c r="P5" i="63" s="1"/>
  <c r="U8" i="63"/>
  <c r="P8" i="63"/>
  <c r="U7" i="63"/>
  <c r="U6" i="63"/>
  <c r="U5" i="63"/>
  <c r="V6" i="63" l="1"/>
  <c r="W6" i="63" s="1"/>
  <c r="V8" i="63"/>
  <c r="W8" i="63" s="1"/>
  <c r="V7" i="63"/>
  <c r="W7" i="63" s="1"/>
  <c r="V5" i="63"/>
  <c r="W5" i="63" s="1"/>
  <c r="O9" i="62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11" i="62"/>
  <c r="W11" i="62" s="1"/>
  <c r="P6" i="62"/>
  <c r="V6" i="62" s="1"/>
  <c r="W6" i="62" s="1"/>
  <c r="P9" i="62"/>
  <c r="V9" i="62" s="1"/>
  <c r="W9" i="62" s="1"/>
  <c r="V7" i="62"/>
  <c r="W7" i="62" s="1"/>
  <c r="V5" i="62"/>
  <c r="W5" i="62" s="1"/>
  <c r="V10" i="62"/>
  <c r="W10" i="62" s="1"/>
  <c r="V8" i="62"/>
  <c r="W8" i="62" s="1"/>
  <c r="U28" i="61"/>
  <c r="O28" i="61"/>
  <c r="P28" i="61" s="1"/>
  <c r="N28" i="61"/>
  <c r="U9" i="61"/>
  <c r="U10" i="61"/>
  <c r="U11" i="61"/>
  <c r="U12" i="61"/>
  <c r="U13" i="61"/>
  <c r="U14" i="61"/>
  <c r="U15" i="61"/>
  <c r="U16" i="61"/>
  <c r="U17" i="61"/>
  <c r="U18" i="61"/>
  <c r="U19" i="61"/>
  <c r="U20" i="61"/>
  <c r="U21" i="61"/>
  <c r="U22" i="61"/>
  <c r="U23" i="61"/>
  <c r="U24" i="61"/>
  <c r="U25" i="61"/>
  <c r="U26" i="61"/>
  <c r="U27" i="61"/>
  <c r="V12" i="61" l="1"/>
  <c r="W12" i="61" s="1"/>
  <c r="V28" i="61"/>
  <c r="W28" i="61" s="1"/>
  <c r="V11" i="61"/>
  <c r="W11" i="61" s="1"/>
  <c r="V16" i="61"/>
  <c r="W16" i="61" s="1"/>
  <c r="V9" i="61"/>
  <c r="W9" i="61" s="1"/>
  <c r="P11" i="61"/>
  <c r="P19" i="61"/>
  <c r="V19" i="61" s="1"/>
  <c r="W19" i="61" s="1"/>
  <c r="P24" i="61"/>
  <c r="V24" i="61" s="1"/>
  <c r="W24" i="61" s="1"/>
  <c r="O23" i="61"/>
  <c r="O27" i="61"/>
  <c r="O26" i="61"/>
  <c r="O25" i="61"/>
  <c r="N27" i="61"/>
  <c r="P27" i="61" s="1"/>
  <c r="V27" i="61" s="1"/>
  <c r="W27" i="61" s="1"/>
  <c r="N26" i="61"/>
  <c r="P26" i="61" s="1"/>
  <c r="V26" i="61" s="1"/>
  <c r="W26" i="61" s="1"/>
  <c r="N25" i="61"/>
  <c r="N23" i="61"/>
  <c r="P23" i="61" s="1"/>
  <c r="V23" i="61" s="1"/>
  <c r="W23" i="61" s="1"/>
  <c r="O22" i="61"/>
  <c r="O21" i="61"/>
  <c r="O20" i="61"/>
  <c r="P20" i="61" s="1"/>
  <c r="V20" i="61" s="1"/>
  <c r="W20" i="61" s="1"/>
  <c r="O18" i="61"/>
  <c r="O17" i="61"/>
  <c r="O16" i="61"/>
  <c r="P16" i="61" s="1"/>
  <c r="O15" i="61"/>
  <c r="O14" i="61"/>
  <c r="P14" i="61" s="1"/>
  <c r="V14" i="61" s="1"/>
  <c r="W14" i="61" s="1"/>
  <c r="O13" i="61"/>
  <c r="P13" i="61" s="1"/>
  <c r="V13" i="61" s="1"/>
  <c r="W13" i="61" s="1"/>
  <c r="O12" i="61"/>
  <c r="N22" i="61"/>
  <c r="N21" i="61"/>
  <c r="N20" i="61"/>
  <c r="N18" i="61"/>
  <c r="P18" i="61" s="1"/>
  <c r="V18" i="61" s="1"/>
  <c r="W18" i="61" s="1"/>
  <c r="N17" i="61"/>
  <c r="P17" i="61" s="1"/>
  <c r="V17" i="61" s="1"/>
  <c r="W17" i="61" s="1"/>
  <c r="N16" i="61"/>
  <c r="N15" i="61"/>
  <c r="N14" i="61"/>
  <c r="N13" i="61"/>
  <c r="N12" i="61"/>
  <c r="P12" i="61" s="1"/>
  <c r="O10" i="61"/>
  <c r="P10" i="61" s="1"/>
  <c r="V10" i="61" s="1"/>
  <c r="W10" i="61" s="1"/>
  <c r="N10" i="61"/>
  <c r="O9" i="61"/>
  <c r="N9" i="61"/>
  <c r="P9" i="61" s="1"/>
  <c r="O8" i="61"/>
  <c r="N8" i="61"/>
  <c r="O7" i="61"/>
  <c r="P7" i="61" s="1"/>
  <c r="N7" i="61"/>
  <c r="O6" i="61"/>
  <c r="N6" i="61"/>
  <c r="P6" i="61" s="1"/>
  <c r="O5" i="61"/>
  <c r="N5" i="61"/>
  <c r="U8" i="61"/>
  <c r="U7" i="61"/>
  <c r="U6" i="61"/>
  <c r="U5" i="61"/>
  <c r="P21" i="61" l="1"/>
  <c r="V21" i="61" s="1"/>
  <c r="W21" i="61" s="1"/>
  <c r="P15" i="61"/>
  <c r="V15" i="61" s="1"/>
  <c r="W15" i="61" s="1"/>
  <c r="P22" i="61"/>
  <c r="V22" i="61" s="1"/>
  <c r="W22" i="61" s="1"/>
  <c r="P25" i="61"/>
  <c r="V25" i="61" s="1"/>
  <c r="W25" i="61" s="1"/>
  <c r="P8" i="6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P9" i="59" s="1"/>
  <c r="O9" i="59"/>
  <c r="O8" i="59"/>
  <c r="N8" i="59"/>
  <c r="N7" i="59"/>
  <c r="P7" i="59" s="1"/>
  <c r="O6" i="59"/>
  <c r="N6" i="59"/>
  <c r="P6" i="59" s="1"/>
  <c r="O5" i="59"/>
  <c r="N5" i="59"/>
  <c r="U9" i="59"/>
  <c r="U8" i="59"/>
  <c r="P8" i="59"/>
  <c r="U7" i="59"/>
  <c r="O7" i="59"/>
  <c r="U6" i="59"/>
  <c r="U5" i="59"/>
  <c r="P5" i="59" l="1"/>
  <c r="V7" i="59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O5" i="58"/>
  <c r="N5" i="58"/>
  <c r="P5" i="58" s="1"/>
  <c r="U7" i="58"/>
  <c r="P7" i="58"/>
  <c r="U6" i="58"/>
  <c r="U5" i="58"/>
  <c r="P6" i="58" l="1"/>
  <c r="V8" i="58"/>
  <c r="W8" i="58" s="1"/>
  <c r="V5" i="58"/>
  <c r="W5" i="58" s="1"/>
  <c r="V6" i="58"/>
  <c r="W6" i="58" s="1"/>
  <c r="V7" i="58"/>
  <c r="W7" i="58" s="1"/>
  <c r="O7" i="57"/>
  <c r="N7" i="57"/>
  <c r="N6" i="57"/>
  <c r="O6" i="57"/>
  <c r="N5" i="57"/>
  <c r="O5" i="57"/>
  <c r="U7" i="57"/>
  <c r="U6" i="57"/>
  <c r="U5" i="57"/>
  <c r="P5" i="57" l="1"/>
  <c r="P7" i="57"/>
  <c r="P6" i="57"/>
  <c r="V6" i="57" s="1"/>
  <c r="W6" i="57" s="1"/>
  <c r="V5" i="57"/>
  <c r="W5" i="57" s="1"/>
  <c r="V7" i="57"/>
  <c r="W7" i="57" s="1"/>
  <c r="U9" i="55"/>
  <c r="V9" i="55" s="1"/>
  <c r="W9" i="55" s="1"/>
  <c r="P9" i="55"/>
  <c r="U7" i="55"/>
  <c r="V7" i="55" s="1"/>
  <c r="W7" i="55" s="1"/>
  <c r="P7" i="55"/>
  <c r="O8" i="56" l="1"/>
  <c r="N8" i="56"/>
  <c r="P8" i="56"/>
  <c r="U8" i="56"/>
  <c r="N6" i="56"/>
  <c r="P6" i="56" s="1"/>
  <c r="O6" i="56"/>
  <c r="N7" i="56"/>
  <c r="O7" i="56"/>
  <c r="O5" i="56"/>
  <c r="N5" i="56"/>
  <c r="P5" i="56" s="1"/>
  <c r="U6" i="56"/>
  <c r="U7" i="56"/>
  <c r="U5" i="56"/>
  <c r="P7" i="56" l="1"/>
  <c r="V8" i="56"/>
  <c r="W8" i="56" s="1"/>
  <c r="V6" i="56"/>
  <c r="W6" i="56" s="1"/>
  <c r="V5" i="56"/>
  <c r="W5" i="56" s="1"/>
  <c r="V7" i="56"/>
  <c r="W7" i="56" s="1"/>
  <c r="N6" i="55"/>
  <c r="O6" i="55"/>
  <c r="O5" i="55"/>
  <c r="N5" i="55"/>
  <c r="U6" i="55"/>
  <c r="U5" i="55"/>
  <c r="P6" i="55" l="1"/>
  <c r="V6" i="55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O6" i="48"/>
  <c r="N6" i="48"/>
  <c r="P6" i="48" s="1"/>
  <c r="O5" i="48"/>
  <c r="N5" i="48"/>
  <c r="U5" i="48"/>
  <c r="V6" i="48" l="1"/>
  <c r="W6" i="48" s="1"/>
  <c r="P5" i="48"/>
  <c r="V5" i="48" s="1"/>
  <c r="W5" i="48" s="1"/>
  <c r="O7" i="42"/>
  <c r="N7" i="42"/>
  <c r="U5" i="42"/>
  <c r="O6" i="42"/>
  <c r="N6" i="42"/>
  <c r="O5" i="42"/>
  <c r="N5" i="42"/>
  <c r="U7" i="42"/>
  <c r="U6" i="42"/>
  <c r="P5" i="42" l="1"/>
  <c r="V5" i="42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N12" i="38"/>
  <c r="O11" i="38"/>
  <c r="N11" i="38"/>
  <c r="P11" i="38" s="1"/>
  <c r="O10" i="38"/>
  <c r="N10" i="38"/>
  <c r="U13" i="38"/>
  <c r="U12" i="38"/>
  <c r="U11" i="38"/>
  <c r="U10" i="38"/>
  <c r="P12" i="38" l="1"/>
  <c r="P13" i="38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N14" i="36"/>
  <c r="O13" i="36"/>
  <c r="N13" i="36"/>
  <c r="P13" i="36" s="1"/>
  <c r="U11" i="36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N10" i="36"/>
  <c r="U10" i="36"/>
  <c r="P14" i="36" l="1"/>
  <c r="P10" i="36"/>
  <c r="V11" i="36"/>
  <c r="W11" i="36" s="1"/>
  <c r="V16" i="36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P26" i="34" s="1"/>
  <c r="O25" i="34"/>
  <c r="N25" i="34"/>
  <c r="P25" i="34" s="1"/>
  <c r="O24" i="34"/>
  <c r="N24" i="34"/>
  <c r="O23" i="34"/>
  <c r="N23" i="34"/>
  <c r="P23" i="34" s="1"/>
  <c r="V23" i="34" s="1"/>
  <c r="W23" i="34" s="1"/>
  <c r="O22" i="34"/>
  <c r="N22" i="34"/>
  <c r="P22" i="34" s="1"/>
  <c r="O21" i="34"/>
  <c r="N21" i="34"/>
  <c r="O20" i="34"/>
  <c r="N20" i="34"/>
  <c r="P20" i="34" s="1"/>
  <c r="O19" i="34"/>
  <c r="N19" i="34"/>
  <c r="O18" i="34"/>
  <c r="N18" i="34"/>
  <c r="O17" i="34"/>
  <c r="N17" i="34"/>
  <c r="O16" i="34"/>
  <c r="N16" i="34"/>
  <c r="P16" i="34" s="1"/>
  <c r="O15" i="34"/>
  <c r="N15" i="34"/>
  <c r="O14" i="34"/>
  <c r="N14" i="34"/>
  <c r="O13" i="34"/>
  <c r="N13" i="34"/>
  <c r="P13" i="34" s="1"/>
  <c r="V13" i="34" s="1"/>
  <c r="W13" i="34" s="1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U25" i="34"/>
  <c r="U24" i="34"/>
  <c r="P24" i="34"/>
  <c r="U23" i="34"/>
  <c r="U22" i="34"/>
  <c r="U21" i="34"/>
  <c r="P21" i="34"/>
  <c r="U20" i="34"/>
  <c r="U19" i="34"/>
  <c r="U18" i="34"/>
  <c r="P18" i="34"/>
  <c r="U17" i="34"/>
  <c r="P17" i="34"/>
  <c r="V17" i="34" s="1"/>
  <c r="W17" i="34" s="1"/>
  <c r="U16" i="34"/>
  <c r="U15" i="34"/>
  <c r="P15" i="34"/>
  <c r="V15" i="34" s="1"/>
  <c r="W15" i="34" s="1"/>
  <c r="U14" i="34"/>
  <c r="P14" i="34"/>
  <c r="U13" i="34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P25" i="32"/>
  <c r="P26" i="32"/>
  <c r="P27" i="32"/>
  <c r="P28" i="32"/>
  <c r="P29" i="32"/>
  <c r="O24" i="32"/>
  <c r="P24" i="32" s="1"/>
  <c r="N24" i="32"/>
  <c r="O23" i="32"/>
  <c r="N23" i="32"/>
  <c r="P23" i="32" s="1"/>
  <c r="O22" i="32"/>
  <c r="N22" i="32"/>
  <c r="P22" i="32" s="1"/>
  <c r="O21" i="32"/>
  <c r="N21" i="32"/>
  <c r="O20" i="32"/>
  <c r="N20" i="32"/>
  <c r="O19" i="32"/>
  <c r="N19" i="32"/>
  <c r="O18" i="32"/>
  <c r="N18" i="32"/>
  <c r="O17" i="32"/>
  <c r="N17" i="32"/>
  <c r="O16" i="32"/>
  <c r="N16" i="32"/>
  <c r="O15" i="32"/>
  <c r="P15" i="32" s="1"/>
  <c r="N15" i="32"/>
  <c r="O14" i="32"/>
  <c r="N14" i="32"/>
  <c r="O13" i="32"/>
  <c r="N13" i="32"/>
  <c r="P13" i="32" s="1"/>
  <c r="O12" i="32"/>
  <c r="N12" i="32"/>
  <c r="O11" i="32"/>
  <c r="N11" i="32"/>
  <c r="P11" i="32" s="1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U28" i="32"/>
  <c r="U29" i="32"/>
  <c r="U30" i="32"/>
  <c r="U31" i="32"/>
  <c r="U32" i="32"/>
  <c r="U33" i="32"/>
  <c r="U34" i="32"/>
  <c r="U35" i="32"/>
  <c r="U36" i="32"/>
  <c r="V36" i="32" s="1"/>
  <c r="W36" i="32" s="1"/>
  <c r="U37" i="32"/>
  <c r="P17" i="32"/>
  <c r="P20" i="32"/>
  <c r="V28" i="32"/>
  <c r="W28" i="32" s="1"/>
  <c r="P30" i="32"/>
  <c r="V30" i="32" s="1"/>
  <c r="W30" i="32" s="1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24" i="32" l="1"/>
  <c r="W24" i="32" s="1"/>
  <c r="V27" i="32"/>
  <c r="W27" i="32" s="1"/>
  <c r="V26" i="32"/>
  <c r="W26" i="32" s="1"/>
  <c r="V34" i="32"/>
  <c r="W34" i="32" s="1"/>
  <c r="P14" i="32"/>
  <c r="V14" i="32" s="1"/>
  <c r="W14" i="32" s="1"/>
  <c r="V32" i="32"/>
  <c r="W32" i="32" s="1"/>
  <c r="V37" i="32"/>
  <c r="W37" i="32" s="1"/>
  <c r="P21" i="32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O30" i="31"/>
  <c r="N30" i="31"/>
  <c r="O29" i="31"/>
  <c r="P29" i="31" s="1"/>
  <c r="N29" i="31"/>
  <c r="O27" i="3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P31" i="31" l="1"/>
  <c r="P27" i="31"/>
  <c r="V32" i="31"/>
  <c r="W32" i="31" s="1"/>
  <c r="V25" i="31"/>
  <c r="W25" i="31" s="1"/>
  <c r="P18" i="31"/>
  <c r="V18" i="31" s="1"/>
  <c r="W18" i="31" s="1"/>
  <c r="P20" i="31"/>
  <c r="V29" i="31"/>
  <c r="W29" i="31" s="1"/>
  <c r="P22" i="31"/>
  <c r="V22" i="31" s="1"/>
  <c r="W22" i="31" s="1"/>
  <c r="P24" i="31"/>
  <c r="V24" i="31" s="1"/>
  <c r="W24" i="31" s="1"/>
  <c r="P26" i="31"/>
  <c r="V26" i="31" s="1"/>
  <c r="W26" i="31" s="1"/>
  <c r="P36" i="31"/>
  <c r="V36" i="31" s="1"/>
  <c r="W36" i="31" s="1"/>
  <c r="P33" i="31"/>
  <c r="V33" i="31" s="1"/>
  <c r="W33" i="31" s="1"/>
  <c r="P35" i="31"/>
  <c r="V35" i="31" s="1"/>
  <c r="W35" i="31" s="1"/>
  <c r="P37" i="31"/>
  <c r="V37" i="31" s="1"/>
  <c r="W37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1" i="31"/>
  <c r="W21" i="31" s="1"/>
  <c r="V19" i="31"/>
  <c r="W19" i="31" s="1"/>
  <c r="V11" i="31"/>
  <c r="W11" i="31" s="1"/>
  <c r="P15" i="31"/>
  <c r="P19" i="3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U26" i="28"/>
  <c r="U27" i="28"/>
  <c r="U28" i="28"/>
  <c r="V28" i="28" s="1"/>
  <c r="W28" i="28" s="1"/>
  <c r="U29" i="28"/>
  <c r="U24" i="28"/>
  <c r="V12" i="28"/>
  <c r="W12" i="28" s="1"/>
  <c r="U11" i="28"/>
  <c r="V11" i="28" s="1"/>
  <c r="W11" i="28" s="1"/>
  <c r="U12" i="28"/>
  <c r="U13" i="28"/>
  <c r="U14" i="28"/>
  <c r="U15" i="28"/>
  <c r="V15" i="28" s="1"/>
  <c r="W15" i="28" s="1"/>
  <c r="U16" i="28"/>
  <c r="U17" i="28"/>
  <c r="V17" i="28" s="1"/>
  <c r="W17" i="28" s="1"/>
  <c r="U18" i="28"/>
  <c r="U19" i="28"/>
  <c r="U20" i="28"/>
  <c r="P14" i="28"/>
  <c r="N25" i="28"/>
  <c r="P25" i="28" s="1"/>
  <c r="O25" i="28"/>
  <c r="N26" i="28"/>
  <c r="P26" i="28" s="1"/>
  <c r="O26" i="28"/>
  <c r="N27" i="28"/>
  <c r="P27" i="28" s="1"/>
  <c r="O27" i="28"/>
  <c r="N28" i="28"/>
  <c r="P28" i="28" s="1"/>
  <c r="O28" i="28"/>
  <c r="N29" i="28"/>
  <c r="O29" i="28"/>
  <c r="O24" i="28"/>
  <c r="P24" i="28" s="1"/>
  <c r="N24" i="28"/>
  <c r="O21" i="28"/>
  <c r="N21" i="28"/>
  <c r="O20" i="28"/>
  <c r="N20" i="28"/>
  <c r="P20" i="28" s="1"/>
  <c r="V20" i="28" s="1"/>
  <c r="W20" i="28" s="1"/>
  <c r="O19" i="28"/>
  <c r="N19" i="28"/>
  <c r="O18" i="28"/>
  <c r="N18" i="28"/>
  <c r="P18" i="28" s="1"/>
  <c r="O17" i="28"/>
  <c r="N17" i="28"/>
  <c r="P17" i="28" s="1"/>
  <c r="O16" i="28"/>
  <c r="N16" i="28"/>
  <c r="O15" i="28"/>
  <c r="N15" i="28"/>
  <c r="P15" i="28" s="1"/>
  <c r="O14" i="28"/>
  <c r="N14" i="28"/>
  <c r="O13" i="28"/>
  <c r="N13" i="28"/>
  <c r="O12" i="28"/>
  <c r="N12" i="28"/>
  <c r="P12" i="28" s="1"/>
  <c r="O11" i="28"/>
  <c r="N11" i="28"/>
  <c r="P11" i="28" s="1"/>
  <c r="O10" i="28"/>
  <c r="P10" i="28" s="1"/>
  <c r="N10" i="28"/>
  <c r="U10" i="28"/>
  <c r="V27" i="28" l="1"/>
  <c r="W27" i="28" s="1"/>
  <c r="P29" i="28"/>
  <c r="V26" i="28"/>
  <c r="W26" i="28" s="1"/>
  <c r="V14" i="28"/>
  <c r="W14" i="28" s="1"/>
  <c r="V25" i="28"/>
  <c r="W25" i="28" s="1"/>
  <c r="V16" i="28"/>
  <c r="W16" i="28" s="1"/>
  <c r="V24" i="28"/>
  <c r="W24" i="28" s="1"/>
  <c r="P13" i="28"/>
  <c r="V13" i="28" s="1"/>
  <c r="W13" i="28" s="1"/>
  <c r="P16" i="28"/>
  <c r="P19" i="28"/>
  <c r="V19" i="28" s="1"/>
  <c r="W19" i="28" s="1"/>
  <c r="V18" i="28"/>
  <c r="W18" i="28" s="1"/>
  <c r="V29" i="28"/>
  <c r="W29" i="28" s="1"/>
  <c r="V10" i="28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O19" i="27"/>
  <c r="N19" i="27"/>
  <c r="P19" i="27" s="1"/>
  <c r="V19" i="27" s="1"/>
  <c r="W19" i="27" s="1"/>
  <c r="O18" i="27"/>
  <c r="N18" i="27"/>
  <c r="O17" i="27"/>
  <c r="N17" i="27"/>
  <c r="O16" i="27"/>
  <c r="N16" i="27"/>
  <c r="O15" i="27"/>
  <c r="N15" i="27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P17" i="27" l="1"/>
  <c r="V17" i="27" s="1"/>
  <c r="W17" i="27" s="1"/>
  <c r="P20" i="27"/>
  <c r="P15" i="27"/>
  <c r="P18" i="27"/>
  <c r="V15" i="27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N18" i="25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P12" i="25" l="1"/>
  <c r="P18" i="25"/>
  <c r="P19" i="25"/>
  <c r="V19" i="25" s="1"/>
  <c r="W19" i="25" s="1"/>
  <c r="V17" i="25"/>
  <c r="W17" i="25" s="1"/>
  <c r="P13" i="25"/>
  <c r="V13" i="25" s="1"/>
  <c r="W13" i="25" s="1"/>
  <c r="P15" i="25"/>
  <c r="V15" i="25" s="1"/>
  <c r="W15" i="25" s="1"/>
  <c r="P10" i="25"/>
  <c r="P16" i="25"/>
  <c r="V18" i="25"/>
  <c r="W18" i="25" s="1"/>
  <c r="V14" i="25"/>
  <c r="W14" i="25" s="1"/>
  <c r="V16" i="25"/>
  <c r="W16" i="25" s="1"/>
  <c r="P11" i="25"/>
  <c r="V11" i="25" s="1"/>
  <c r="W11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1" i="24" l="1"/>
  <c r="W11" i="24" s="1"/>
  <c r="V16" i="24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P19" i="23" s="1"/>
  <c r="N15" i="23"/>
  <c r="O15" i="23"/>
  <c r="N16" i="23"/>
  <c r="O16" i="23"/>
  <c r="N17" i="23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5" i="23" l="1"/>
  <c r="P17" i="23"/>
  <c r="V17" i="23" s="1"/>
  <c r="W17" i="23" s="1"/>
  <c r="P11" i="23"/>
  <c r="V11" i="23" s="1"/>
  <c r="W11" i="23" s="1"/>
  <c r="P18" i="23"/>
  <c r="V18" i="23" s="1"/>
  <c r="W18" i="23" s="1"/>
  <c r="P16" i="23"/>
  <c r="V16" i="23" s="1"/>
  <c r="W16" i="23" s="1"/>
  <c r="V15" i="23"/>
  <c r="W15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P13" i="22" s="1"/>
  <c r="N13" i="22"/>
  <c r="O12" i="22"/>
  <c r="N12" i="22"/>
  <c r="O11" i="22"/>
  <c r="P11" i="22" s="1"/>
  <c r="V11" i="22" s="1"/>
  <c r="W11" i="22" s="1"/>
  <c r="N11" i="22"/>
  <c r="O10" i="22"/>
  <c r="P10" i="22" s="1"/>
  <c r="N10" i="22"/>
  <c r="U11" i="22"/>
  <c r="U12" i="22"/>
  <c r="U13" i="22"/>
  <c r="U14" i="22"/>
  <c r="U15" i="22"/>
  <c r="P12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P11" i="20" s="1"/>
  <c r="V11" i="20" s="1"/>
  <c r="W11" i="20" s="1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O17" i="19"/>
  <c r="N16" i="19"/>
  <c r="P16" i="19" s="1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8" i="18"/>
  <c r="P20" i="18"/>
  <c r="P21" i="18"/>
  <c r="V21" i="18" s="1"/>
  <c r="W21" i="18" s="1"/>
  <c r="P24" i="18"/>
  <c r="P25" i="18"/>
  <c r="P26" i="18"/>
  <c r="U11" i="18"/>
  <c r="U12" i="18"/>
  <c r="U13" i="18"/>
  <c r="U14" i="18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U23" i="18"/>
  <c r="U24" i="18"/>
  <c r="V24" i="18" s="1"/>
  <c r="W24" i="18" s="1"/>
  <c r="U25" i="18"/>
  <c r="U26" i="18"/>
  <c r="V26" i="18" s="1"/>
  <c r="W26" i="18" s="1"/>
  <c r="O25" i="18"/>
  <c r="N25" i="18"/>
  <c r="O23" i="18"/>
  <c r="P23" i="18" s="1"/>
  <c r="V23" i="18" s="1"/>
  <c r="W23" i="18" s="1"/>
  <c r="N23" i="18"/>
  <c r="O22" i="18"/>
  <c r="P22" i="18" s="1"/>
  <c r="N22" i="18"/>
  <c r="O21" i="18"/>
  <c r="N21" i="18"/>
  <c r="O20" i="18"/>
  <c r="N20" i="18"/>
  <c r="O19" i="18"/>
  <c r="P19" i="18" s="1"/>
  <c r="N19" i="18"/>
  <c r="O18" i="18"/>
  <c r="N18" i="18"/>
  <c r="O17" i="18"/>
  <c r="P17" i="18" s="1"/>
  <c r="V17" i="18" s="1"/>
  <c r="W17" i="18" s="1"/>
  <c r="N17" i="18"/>
  <c r="O16" i="18"/>
  <c r="P16" i="18" s="1"/>
  <c r="N16" i="18"/>
  <c r="V25" i="18" l="1"/>
  <c r="W25" i="18" s="1"/>
  <c r="V22" i="18"/>
  <c r="W22" i="18" s="1"/>
  <c r="V16" i="18"/>
  <c r="W16" i="18" s="1"/>
  <c r="V19" i="18"/>
  <c r="W19" i="18" s="1"/>
  <c r="O15" i="18"/>
  <c r="P15" i="18" s="1"/>
  <c r="V15" i="18" s="1"/>
  <c r="W15" i="18" s="1"/>
  <c r="N15" i="18"/>
  <c r="O14" i="18" l="1"/>
  <c r="P14" i="18" s="1"/>
  <c r="V14" i="18" s="1"/>
  <c r="W14" i="18" s="1"/>
  <c r="N14" i="18"/>
  <c r="O13" i="18"/>
  <c r="P13" i="18" s="1"/>
  <c r="V13" i="18" s="1"/>
  <c r="W13" i="18" s="1"/>
  <c r="N13" i="18"/>
  <c r="O12" i="18"/>
  <c r="P12" i="18" s="1"/>
  <c r="V12" i="18" s="1"/>
  <c r="W12" i="18" s="1"/>
  <c r="N12" i="18"/>
  <c r="O11" i="18"/>
  <c r="P11" i="18" s="1"/>
  <c r="V11" i="18" s="1"/>
  <c r="W11" i="18" s="1"/>
  <c r="N11" i="18"/>
  <c r="N10" i="18"/>
  <c r="O10" i="18"/>
  <c r="U10" i="18"/>
  <c r="P10" i="18"/>
  <c r="V10" i="18" l="1"/>
  <c r="W10" i="18" s="1"/>
  <c r="U24" i="17"/>
  <c r="O24" i="17"/>
  <c r="N24" i="17"/>
  <c r="P24" i="17" l="1"/>
  <c r="V24" i="17" s="1"/>
  <c r="W24" i="17" s="1"/>
  <c r="U21" i="17"/>
  <c r="U22" i="17"/>
  <c r="O23" i="17"/>
  <c r="P23" i="17" s="1"/>
  <c r="N22" i="17"/>
  <c r="P22" i="17" s="1"/>
  <c r="V22" i="17" s="1"/>
  <c r="O21" i="17"/>
  <c r="N21" i="17"/>
  <c r="O20" i="17"/>
  <c r="N20" i="17"/>
  <c r="P21" i="17" l="1"/>
  <c r="P20" i="17"/>
  <c r="W22" i="17"/>
  <c r="O15" i="17"/>
  <c r="N15" i="17"/>
  <c r="O14" i="17"/>
  <c r="N14" i="17"/>
  <c r="O13" i="17"/>
  <c r="N13" i="17"/>
  <c r="V21" i="17" l="1"/>
  <c r="W21" i="17" s="1"/>
  <c r="O12" i="17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7" i="16"/>
  <c r="P19" i="16"/>
  <c r="P20" i="16"/>
  <c r="O18" i="16"/>
  <c r="N18" i="16"/>
  <c r="P18" i="16" s="1"/>
  <c r="O16" i="16"/>
  <c r="N16" i="16"/>
  <c r="P16" i="16" s="1"/>
  <c r="O15" i="16"/>
  <c r="N15" i="16"/>
  <c r="P15" i="16" s="1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P12" i="14" l="1"/>
  <c r="V12" i="14" s="1"/>
  <c r="W12" i="14" s="1"/>
  <c r="V17" i="14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P13" i="13" s="1"/>
  <c r="V13" i="13" s="1"/>
  <c r="W13" i="13" s="1"/>
  <c r="O12" i="13"/>
  <c r="N12" i="13"/>
  <c r="O11" i="13"/>
  <c r="N11" i="13"/>
  <c r="O10" i="13"/>
  <c r="N10" i="13"/>
  <c r="P10" i="13" s="1"/>
  <c r="U14" i="13"/>
  <c r="U13" i="13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P13" i="12" s="1"/>
  <c r="V13" i="12" s="1"/>
  <c r="W13" i="12" s="1"/>
  <c r="O12" i="12"/>
  <c r="N12" i="12"/>
  <c r="O11" i="12"/>
  <c r="N11" i="12"/>
  <c r="P11" i="12" s="1"/>
  <c r="O10" i="12"/>
  <c r="N10" i="12"/>
  <c r="P10" i="12" s="1"/>
  <c r="V10" i="12" s="1"/>
  <c r="W10" i="12" s="1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U12" i="12"/>
  <c r="P12" i="12"/>
  <c r="V12" i="12" s="1"/>
  <c r="W12" i="12" s="1"/>
  <c r="U11" i="12"/>
  <c r="U10" i="12"/>
  <c r="V11" i="12" l="1"/>
  <c r="W11" i="12" s="1"/>
  <c r="O14" i="11"/>
  <c r="N14" i="11"/>
  <c r="P14" i="11" s="1"/>
  <c r="O13" i="11"/>
  <c r="N13" i="11"/>
  <c r="P13" i="11" s="1"/>
  <c r="O12" i="11"/>
  <c r="P12" i="11" s="1"/>
  <c r="N12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 s="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P22" i="10" s="1"/>
  <c r="V22" i="10" s="1"/>
  <c r="W22" i="10" s="1"/>
  <c r="O21" i="10"/>
  <c r="N21" i="10"/>
  <c r="O20" i="10"/>
  <c r="N20" i="10"/>
  <c r="P20" i="10" s="1"/>
  <c r="O19" i="10"/>
  <c r="N19" i="10"/>
  <c r="P19" i="10" s="1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21" i="10"/>
  <c r="P24" i="10"/>
  <c r="V24" i="10" s="1"/>
  <c r="W24" i="10" s="1"/>
  <c r="P25" i="10"/>
  <c r="P27" i="10"/>
  <c r="O11" i="10"/>
  <c r="N11" i="10"/>
  <c r="P11" i="10" s="1"/>
  <c r="O10" i="10"/>
  <c r="N10" i="10"/>
  <c r="V28" i="10" l="1"/>
  <c r="W28" i="10" s="1"/>
  <c r="P12" i="10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P27" i="9"/>
  <c r="P31" i="9"/>
  <c r="U23" i="9"/>
  <c r="U24" i="9"/>
  <c r="U25" i="9"/>
  <c r="U26" i="9"/>
  <c r="U27" i="9"/>
  <c r="P28" i="9"/>
  <c r="U28" i="9"/>
  <c r="U29" i="9"/>
  <c r="P30" i="9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23" i="9" l="1"/>
  <c r="W23" i="9" s="1"/>
  <c r="V30" i="9"/>
  <c r="W30" i="9" s="1"/>
  <c r="V31" i="9"/>
  <c r="W31" i="9" s="1"/>
  <c r="P24" i="9"/>
  <c r="V24" i="9" s="1"/>
  <c r="W24" i="9" s="1"/>
  <c r="V25" i="9"/>
  <c r="W25" i="9" s="1"/>
  <c r="V32" i="9"/>
  <c r="W32" i="9" s="1"/>
  <c r="V26" i="9"/>
  <c r="W26" i="9" s="1"/>
  <c r="V29" i="9"/>
  <c r="W29" i="9" s="1"/>
  <c r="V28" i="9"/>
  <c r="W28" i="9" s="1"/>
  <c r="V27" i="9"/>
  <c r="W27" i="9" s="1"/>
  <c r="O17" i="9"/>
  <c r="P17" i="9" s="1"/>
  <c r="N17" i="9"/>
  <c r="O16" i="9"/>
  <c r="N16" i="9"/>
  <c r="P16" i="9" s="1"/>
  <c r="O15" i="9"/>
  <c r="N15" i="9"/>
  <c r="O14" i="9"/>
  <c r="N14" i="9"/>
  <c r="O13" i="9"/>
  <c r="N13" i="9"/>
  <c r="O12" i="9"/>
  <c r="N12" i="9"/>
  <c r="P12" i="9" s="1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3" i="9"/>
  <c r="P18" i="9"/>
  <c r="P19" i="9"/>
  <c r="P20" i="9"/>
  <c r="P21" i="9"/>
  <c r="P22" i="9"/>
  <c r="O10" i="9"/>
  <c r="N10" i="9"/>
  <c r="P15" i="9" l="1"/>
  <c r="P14" i="9"/>
  <c r="V14" i="9" s="1"/>
  <c r="W14" i="9" s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3" i="9"/>
  <c r="W13" i="9" s="1"/>
  <c r="V12" i="9"/>
  <c r="W12" i="9" s="1"/>
  <c r="O26" i="8"/>
  <c r="N26" i="8"/>
  <c r="O25" i="8"/>
  <c r="N25" i="8"/>
  <c r="N24" i="8"/>
  <c r="O24" i="8"/>
  <c r="O23" i="8"/>
  <c r="N23" i="8"/>
  <c r="U21" i="8"/>
  <c r="U22" i="8"/>
  <c r="U23" i="8"/>
  <c r="U24" i="8"/>
  <c r="U25" i="8"/>
  <c r="U26" i="8"/>
  <c r="P23" i="8"/>
  <c r="O22" i="8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N16" i="8"/>
  <c r="O15" i="8"/>
  <c r="N15" i="8"/>
  <c r="P15" i="8" s="1"/>
  <c r="O14" i="8"/>
  <c r="N14" i="8"/>
  <c r="O13" i="8"/>
  <c r="N13" i="8"/>
  <c r="O12" i="8"/>
  <c r="N12" i="8"/>
  <c r="P12" i="8" s="1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3" i="8"/>
  <c r="P19" i="8"/>
  <c r="P21" i="8"/>
  <c r="O10" i="8"/>
  <c r="N10" i="8"/>
  <c r="P10" i="8" l="1"/>
  <c r="P14" i="8"/>
  <c r="V14" i="8" s="1"/>
  <c r="W14" i="8" s="1"/>
  <c r="V21" i="8"/>
  <c r="W21" i="8" s="1"/>
  <c r="P26" i="8"/>
  <c r="V26" i="8" s="1"/>
  <c r="W26" i="8" s="1"/>
  <c r="P24" i="8"/>
  <c r="V24" i="8" s="1"/>
  <c r="W24" i="8" s="1"/>
  <c r="P16" i="8"/>
  <c r="V16" i="8" s="1"/>
  <c r="W16" i="8" s="1"/>
  <c r="P22" i="8"/>
  <c r="V22" i="8" s="1"/>
  <c r="W22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3" i="8"/>
  <c r="W23" i="8" s="1"/>
  <c r="V17" i="8"/>
  <c r="W17" i="8" s="1"/>
  <c r="V15" i="8"/>
  <c r="W15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6" i="7" l="1"/>
  <c r="W16" i="7" s="1"/>
  <c r="V19" i="7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O15" i="6"/>
  <c r="N15" i="6"/>
  <c r="P15" i="6" s="1"/>
  <c r="V15" i="6" s="1"/>
  <c r="W15" i="6" s="1"/>
  <c r="O14" i="6"/>
  <c r="N14" i="6"/>
  <c r="O13" i="6"/>
  <c r="N13" i="6"/>
  <c r="P13" i="6" s="1"/>
  <c r="O12" i="6"/>
  <c r="N12" i="6"/>
  <c r="U11" i="6"/>
  <c r="U12" i="6"/>
  <c r="U13" i="6"/>
  <c r="U14" i="6"/>
  <c r="U15" i="6"/>
  <c r="O11" i="6"/>
  <c r="N11" i="6"/>
  <c r="P11" i="6" s="1"/>
  <c r="N10" i="6"/>
  <c r="O10" i="6"/>
  <c r="U10" i="6"/>
  <c r="P14" i="6" l="1"/>
  <c r="V14" i="6" s="1"/>
  <c r="W14" i="6" s="1"/>
  <c r="P12" i="6"/>
  <c r="V11" i="6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  <c r="T5" i="107" l="1"/>
</calcChain>
</file>

<file path=xl/sharedStrings.xml><?xml version="1.0" encoding="utf-8"?>
<sst xmlns="http://schemas.openxmlformats.org/spreadsheetml/2006/main" count="11437" uniqueCount="1091">
  <si>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</si>
  <si>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</si>
  <si>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</si>
  <si>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</si>
  <si>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</si>
  <si>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</si>
  <si>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</si>
  <si>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</si>
  <si>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</si>
  <si>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</si>
  <si>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</si>
  <si>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</si>
  <si>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</si>
  <si>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</si>
  <si>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</si>
  <si>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</si>
  <si>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</si>
  <si>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</si>
  <si>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</si>
  <si>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</si>
  <si>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</si>
  <si>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</si>
  <si>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</si>
  <si>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</si>
  <si>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</si>
  <si>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</si>
  <si>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</si>
  <si>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</si>
  <si>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</si>
  <si>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</si>
  <si>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</si>
  <si>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</si>
  <si>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</si>
  <si>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</si>
  <si>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</si>
  <si>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</si>
  <si>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</si>
  <si>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</si>
  <si>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</si>
  <si>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</si>
  <si>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</si>
  <si>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</si>
  <si>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</si>
  <si>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</si>
  <si>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</si>
  <si>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</si>
  <si>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</si>
  <si>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</si>
  <si>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</si>
  <si>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</si>
  <si>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</si>
  <si>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</si>
  <si>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</si>
  <si>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</si>
  <si>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</si>
  <si>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</si>
  <si>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</si>
  <si>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</si>
  <si>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</si>
  <si>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</si>
  <si>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</si>
  <si>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</si>
  <si>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</si>
  <si>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</si>
  <si>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</si>
  <si>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</si>
  <si>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</si>
  <si>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</si>
  <si>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</si>
  <si>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</si>
  <si>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</si>
  <si>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</si>
  <si>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</si>
  <si>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</si>
  <si>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</si>
  <si>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</si>
  <si>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</si>
  <si>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</si>
  <si>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</si>
  <si>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</si>
  <si>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</si>
  <si>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</si>
  <si>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</si>
  <si>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</si>
  <si>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</si>
  <si>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</si>
  <si>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</si>
  <si>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</si>
  <si>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</si>
  <si>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</si>
  <si>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</si>
  <si>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</si>
  <si>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</si>
  <si>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</si>
  <si>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</si>
  <si>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</si>
  <si>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</si>
  <si>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</si>
  <si>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</si>
  <si>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</si>
  <si>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</si>
  <si>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</si>
  <si>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</si>
  <si>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</si>
  <si>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</si>
  <si>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</si>
  <si>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</si>
  <si>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</si>
  <si>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</si>
  <si>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</si>
  <si>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</si>
  <si>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</si>
  <si>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</si>
  <si>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</si>
  <si>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</si>
  <si>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</si>
  <si>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</si>
  <si>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</si>
  <si>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</si>
  <si>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</si>
  <si>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</si>
  <si>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</si>
  <si>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</si>
  <si>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</si>
  <si>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</si>
  <si>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</si>
  <si>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</si>
  <si>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</si>
  <si>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</si>
  <si>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</si>
  <si>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</si>
  <si>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</si>
  <si>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</si>
  <si>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</si>
  <si>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</si>
  <si>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</si>
  <si>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</si>
  <si>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</si>
  <si>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</si>
  <si>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</si>
  <si>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</si>
  <si>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</si>
  <si>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</si>
  <si>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</si>
  <si>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</si>
  <si>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</si>
  <si>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</si>
  <si>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</si>
  <si>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</si>
  <si>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</si>
  <si>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</si>
  <si>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</si>
  <si>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</si>
  <si>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</si>
  <si>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</si>
  <si>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</si>
  <si>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</si>
  <si>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</si>
  <si>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</si>
  <si>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</si>
  <si>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</si>
  <si>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</si>
  <si>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</si>
  <si>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</si>
  <si>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</si>
  <si>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</si>
  <si>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</si>
  <si>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</si>
  <si>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</si>
  <si>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</si>
  <si>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</si>
  <si>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</si>
  <si>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</si>
  <si>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</si>
  <si>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</si>
  <si>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</si>
  <si>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</si>
  <si>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</si>
  <si>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</si>
  <si>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</si>
  <si>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</si>
  <si>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</si>
  <si>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</si>
  <si>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</si>
  <si>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</si>
  <si>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</si>
  <si>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</si>
  <si>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</si>
  <si>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</si>
  <si>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</si>
  <si>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</si>
  <si>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</si>
  <si>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</si>
  <si>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</si>
  <si>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</si>
  <si>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</si>
  <si>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</si>
  <si>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</si>
  <si>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</si>
  <si>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</si>
  <si>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</si>
  <si>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</si>
  <si>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</si>
  <si>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</si>
  <si>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</si>
  <si>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</si>
  <si>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</si>
  <si>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</si>
  <si>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</si>
  <si>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</si>
  <si>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</si>
  <si>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</si>
  <si>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</si>
  <si>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</si>
  <si>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</si>
  <si>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</si>
  <si>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</si>
  <si>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</si>
  <si>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</si>
  <si>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</si>
  <si>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</si>
  <si>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</si>
  <si>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</si>
  <si>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</si>
  <si>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</si>
  <si>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</si>
  <si>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</si>
  <si>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</si>
  <si>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</si>
  <si>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</si>
  <si>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</si>
  <si>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</si>
  <si>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</si>
  <si>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</si>
  <si>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</si>
  <si>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</si>
  <si>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</si>
  <si>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</si>
  <si>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</si>
  <si>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</si>
  <si>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</si>
  <si>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</si>
  <si>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</si>
  <si>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</si>
  <si>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</si>
  <si>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</si>
  <si>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</si>
  <si>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</si>
  <si>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</si>
  <si>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</si>
  <si>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</si>
  <si>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</si>
  <si>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</si>
  <si>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</si>
  <si>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</si>
  <si>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</si>
  <si>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</si>
  <si>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</si>
  <si>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</si>
  <si>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</si>
  <si>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</si>
  <si>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</si>
  <si>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</si>
  <si>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</si>
  <si>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</si>
  <si>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</si>
  <si>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</si>
  <si>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</si>
  <si>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</si>
  <si>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</si>
  <si>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</si>
  <si>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</si>
  <si>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</si>
  <si>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</si>
  <si>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</si>
  <si>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</si>
  <si>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</si>
  <si>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</si>
  <si>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</si>
  <si>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</si>
  <si>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</si>
  <si>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</si>
  <si>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</si>
  <si>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</si>
  <si>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</si>
  <si>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</si>
  <si>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</si>
  <si>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</si>
  <si>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</si>
  <si>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</si>
  <si>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</si>
  <si>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</si>
  <si>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</si>
  <si>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</si>
  <si>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</si>
  <si>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</si>
  <si>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</si>
  <si>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</si>
  <si>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</si>
  <si>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</si>
  <si>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</si>
  <si>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</si>
  <si>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</si>
  <si>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</si>
  <si>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</si>
  <si>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</si>
  <si>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</si>
  <si>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</si>
  <si>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</si>
  <si>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</si>
  <si>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</si>
  <si>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</si>
  <si>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</si>
  <si>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</si>
  <si>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</si>
  <si>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</si>
  <si>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</si>
  <si>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</si>
  <si>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</si>
  <si>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</si>
  <si>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</si>
  <si>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</si>
  <si>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</si>
  <si>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</si>
  <si>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</si>
  <si>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</si>
  <si>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</si>
  <si>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</si>
  <si>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</si>
  <si>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</si>
  <si>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</si>
  <si>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</si>
  <si>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</si>
  <si>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</si>
  <si>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</si>
  <si>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</si>
  <si>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</si>
  <si>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</si>
  <si>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</si>
  <si>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</si>
  <si>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</si>
  <si>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</si>
  <si>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</si>
  <si>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</si>
  <si>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</si>
  <si>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</si>
  <si>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</si>
  <si>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</si>
  <si>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</si>
  <si>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</si>
  <si>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</si>
  <si>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</si>
  <si>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</si>
  <si>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</si>
  <si>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</si>
  <si>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</si>
  <si>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</si>
  <si>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</si>
  <si>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</si>
  <si>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</si>
  <si>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</si>
  <si>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</si>
  <si>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</si>
  <si>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</si>
  <si>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</si>
  <si>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</si>
  <si>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</si>
  <si>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</si>
  <si>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</si>
  <si>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</si>
  <si>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</si>
  <si>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</si>
  <si>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</si>
  <si>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</si>
  <si>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</si>
  <si>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</si>
  <si>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</si>
  <si>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</si>
  <si>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</si>
  <si>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</si>
  <si>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</si>
  <si>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</si>
  <si>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</si>
  <si>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</si>
  <si>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</si>
  <si>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</si>
  <si>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</si>
  <si>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</si>
  <si>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</si>
  <si>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</si>
  <si>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</si>
  <si>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</si>
  <si>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</si>
  <si>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</si>
  <si>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</si>
  <si>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</si>
  <si>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</si>
  <si>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</si>
  <si>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</si>
  <si>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</si>
  <si>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</si>
  <si>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</si>
  <si>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</si>
  <si>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</si>
  <si>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</si>
  <si>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</si>
  <si>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</si>
  <si>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</si>
  <si>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</si>
  <si>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</si>
  <si>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</si>
  <si>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</si>
  <si>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</si>
  <si>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</si>
  <si>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</si>
  <si>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</si>
  <si>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</si>
  <si>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</si>
  <si>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</si>
  <si>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</si>
  <si>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</si>
  <si>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</si>
  <si>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</si>
  <si>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</si>
  <si>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</si>
  <si>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</si>
  <si>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</si>
  <si>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</si>
  <si>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</si>
  <si>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</si>
  <si>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</si>
  <si>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</si>
  <si>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</si>
  <si>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</si>
  <si>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</si>
  <si>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</si>
  <si>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</si>
  <si>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</si>
  <si>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</si>
  <si>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</si>
  <si>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</si>
  <si>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</si>
  <si>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</si>
  <si>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</si>
  <si>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</si>
  <si>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</si>
  <si>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</si>
  <si>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</si>
  <si>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</si>
  <si>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</si>
  <si>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</si>
  <si>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</si>
  <si>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</si>
  <si>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</si>
  <si>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</si>
  <si>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</si>
  <si>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</si>
  <si>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</si>
  <si>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</si>
  <si>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</si>
  <si>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LEONARDO GUIMARAES BRITO</t>
  </si>
  <si>
    <t>CLCO - COORDENADORIA DE CONTRATACAO E LICITAÇ</t>
  </si>
  <si>
    <t>BR</t>
  </si>
  <si>
    <t xml:space="preserve">CONGRESSO BRASILEIRO DE REGULAÇÃO </t>
  </si>
  <si>
    <t>CURSO COMO PLANEJAR , JULGAR E FISCALIZAR A EXECUÇÃO DE OBRAS E SERVIÇOS DE ENGENHARIA</t>
  </si>
  <si>
    <t>REUNIÃO DO COMITÊ DE SMS DA ABEGAS</t>
  </si>
  <si>
    <t>BENCHMARKING  COPERGAS</t>
  </si>
  <si>
    <t>JOSE LUCIMARIO FERREIRA GONCALVES</t>
  </si>
  <si>
    <t>WORKSHOP GESTÃO DE ATIVOS PATRIMONIAS</t>
  </si>
  <si>
    <t>FORUM DE CONTABILIDADE</t>
  </si>
  <si>
    <t>WORKSHOP GESTÃO DE ATIVOS PATRIMONIAS/FORUM DE CONTABILIDADE</t>
  </si>
  <si>
    <t>EVELLYN MARIA RAINHA PERDIGAO GOMES</t>
  </si>
  <si>
    <t>BENCHMARKING  BAHIAGÁS</t>
  </si>
  <si>
    <t>MERCADO DE GÁS, PETRÓLEO FORÚM PLATTS</t>
  </si>
  <si>
    <t>LUIZ FELIPE CARVALHO ARARUNA</t>
  </si>
  <si>
    <t>JULIANA DE OLIVEIRA NERY COUTINHO</t>
  </si>
  <si>
    <t>FÓRUM MITSUI RH</t>
  </si>
  <si>
    <t>REUNIÃO ÁBEGAS</t>
  </si>
  <si>
    <t>FABRICIO BOMTEMPO DE OLIVEIRA</t>
  </si>
  <si>
    <t>WORKSHOP NA ANP</t>
  </si>
  <si>
    <t>ENCONTRO DE AUDITORES INTERNOS DAS COMPANHIAS DISTRIBUIDORAS</t>
  </si>
  <si>
    <t>DAVID DE MIRANDA ARAGAO</t>
  </si>
  <si>
    <t>CURSO MAPEAMENTO DE PROCESSOS, MELHORIA E CONTEXTO DA ORGANIZAÇÃO  ISSO</t>
  </si>
  <si>
    <t>TESTE DE ACEITAÇÃO EM FÁBRICA (TAF)</t>
  </si>
  <si>
    <t>REUNIÃO CONTRATO SUPRIMENTOS</t>
  </si>
  <si>
    <t>REUNIÃO DO COMITÊ DE INTEGRIDADE - ABEGÁS</t>
  </si>
  <si>
    <t>WORKSHOP PROCESSO  COMERCIAL NA POTIGÁS</t>
  </si>
  <si>
    <t>WORKSHOP GESTÃO + ERGONOMIA +GESTÃO DE RISCOS ERGONÔMICOS</t>
  </si>
  <si>
    <t>000336</t>
  </si>
  <si>
    <t>000358</t>
  </si>
  <si>
    <t>GERENTE ADM E SUPRIMENTO</t>
  </si>
  <si>
    <t>000282</t>
  </si>
  <si>
    <t>ANALISTA CONTADOR</t>
  </si>
  <si>
    <t>SUPERVISORA DE ORÇAMENTO E CONTAS A PAGAR</t>
  </si>
  <si>
    <t>000330</t>
  </si>
  <si>
    <t>SUPERVISORA CAPACITAÇÃO E DESEMPENHO DE EQUIPE</t>
  </si>
  <si>
    <t>ANALISTA ADMINISTRADOR</t>
  </si>
  <si>
    <t>000287</t>
  </si>
  <si>
    <t>ENGENHEIRO MECANICO</t>
  </si>
  <si>
    <t xml:space="preserve">GERENTE COMERCIAL E RESIDENCIAL </t>
  </si>
  <si>
    <t>TECNICO OPERACIONAL SEGURANÇA DO TRABALHO</t>
  </si>
  <si>
    <t>CURSO DA ZENITE</t>
  </si>
  <si>
    <t>CAMPO GRANDE</t>
  </si>
  <si>
    <t>MT</t>
  </si>
  <si>
    <t>COMITE GESTOR GÁS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</si>
  <si>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</si>
  <si>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</si>
  <si>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</si>
  <si>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</si>
  <si>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</si>
  <si>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>SUPERVISOR DE COMPRAS ADM E DE ESTOQUES</t>
  </si>
  <si>
    <t>SUPERVISORA JURIDICA</t>
  </si>
  <si>
    <t xml:space="preserve">DTC - DIRETORIA TECNICO - COMERCIAL
</t>
  </si>
  <si>
    <t>SEGUNDO SEMINÁRIO INTERNACIONAL: MOBILIDADE A GÁS NATURAL</t>
  </si>
  <si>
    <t xml:space="preserve">RENATA BARBOSA DAMASIO
</t>
  </si>
  <si>
    <t>ADRIANA DOS ANJOS DE OLIVEIRA GOMES</t>
  </si>
  <si>
    <t xml:space="preserve">GCRC - GERENCIA DE COMERC. RESID/COMERCIAL
</t>
  </si>
  <si>
    <t>REPRESENTAÇÃO CEGÁS</t>
  </si>
  <si>
    <t xml:space="preserve">FABRICIO BOMTEMPO DE OLIVEIRA
</t>
  </si>
  <si>
    <t xml:space="preserve">FABIO EDUARDO MORGADO
</t>
  </si>
  <si>
    <t xml:space="preserve">MARCOS ELIAS DOMINGOS DA SILVA
</t>
  </si>
  <si>
    <t>FERNANDO GOMES DE ARRUDA JUNIOR</t>
  </si>
  <si>
    <t>CURSO LNT</t>
  </si>
  <si>
    <t>REUNIÃO SMS DA ABEGÁS</t>
  </si>
  <si>
    <t xml:space="preserve">TESTE DE ACEITAÇÃO </t>
  </si>
  <si>
    <t>WORKSHOP CONTRATO DE SUPRIMENTO</t>
  </si>
  <si>
    <t>COMITÊ DE INTEGRIDADE DE ATIVOS</t>
  </si>
  <si>
    <t>000127</t>
  </si>
  <si>
    <t>000315</t>
  </si>
  <si>
    <t>000263</t>
  </si>
  <si>
    <t>000217</t>
  </si>
  <si>
    <t xml:space="preserve">SUPERVISOR DO SEGMENTO VEICULAR </t>
  </si>
  <si>
    <t>TÉCNICO OPERACIONAL DE CONVERSÃO E SUPORTE TÉCNICO</t>
  </si>
  <si>
    <t>ENGENHEIRA DE OPERAÇÕES</t>
  </si>
  <si>
    <t>ANALISTA DE MERCADO</t>
  </si>
  <si>
    <t>TÉCNICO DE EDIFICAÇÕES</t>
  </si>
  <si>
    <t>TÉCNICO OPERACIONAL</t>
  </si>
  <si>
    <t>EVENTO GESTÃO ESTRATÉGICA DE DEPARTAMENTO JURÍDICO</t>
  </si>
  <si>
    <t>LEVANTAMENTO DO PROJETO BOLSÃO PETROLINA</t>
  </si>
  <si>
    <t>SERGIO GUTTENBERG LEITE DA CRUZ</t>
  </si>
  <si>
    <t>REUNIÃO CÔMITE GESTOR GGÁS</t>
  </si>
  <si>
    <t>ENNIO LINS BENNING</t>
  </si>
  <si>
    <t>ASSINST - ASSESSORIA INSTITUCIONAL</t>
  </si>
  <si>
    <t>REUNIÃO PREFEITURA DE PETROLINA</t>
  </si>
  <si>
    <t>DEFESA ORÇAMENTO 2020 MITSUI</t>
  </si>
  <si>
    <t>FELLIPE FREIRE CIRILO PASSOS</t>
  </si>
  <si>
    <t>GESTOR GGAS</t>
  </si>
  <si>
    <t>REUNIÃO COM A NEOENERGIA</t>
  </si>
  <si>
    <t>ASSESSOR INSTITUCIONAL</t>
  </si>
  <si>
    <t>SUPERVISOR DE GEOPROCESSAMENTO</t>
  </si>
  <si>
    <t>000159</t>
  </si>
  <si>
    <t>000353</t>
  </si>
  <si>
    <t>000305</t>
  </si>
  <si>
    <t>TREINAMENTO</t>
  </si>
  <si>
    <t>FÓRUM SERGIPANO DE ÓLEO E GÁS</t>
  </si>
  <si>
    <t>TREINAMENTO ABNT</t>
  </si>
  <si>
    <t>TAF DE ESTAÇÕES</t>
  </si>
  <si>
    <t>00236</t>
  </si>
  <si>
    <t xml:space="preserve"> TESTE DE ACEITAÇÃO EM FÁBRICA</t>
  </si>
  <si>
    <t>REUNIÃO CLIENTES</t>
  </si>
  <si>
    <t>ENCONTRO ABEGAS</t>
  </si>
  <si>
    <t>PRESIDENTE</t>
  </si>
  <si>
    <t>MEMBRO</t>
  </si>
  <si>
    <t xml:space="preserve">RIO DE JANEIRO </t>
  </si>
  <si>
    <t>JOÃO BATISTA DE MORAES GUERRA</t>
  </si>
  <si>
    <t>ANDRÉ WILSON DE QUEIROZ CAMPOS</t>
  </si>
  <si>
    <t>FABRÍCIO BOMTEMPO DE OLIVEIRA</t>
  </si>
  <si>
    <t>FÁBIO EDUARDO MORGADO</t>
  </si>
  <si>
    <t>CJUR - COORDENADORIA JURÍDICA</t>
  </si>
  <si>
    <t>Reunião Abegás</t>
  </si>
  <si>
    <t>Reunião Petrobrás</t>
  </si>
  <si>
    <t>Treinamento</t>
  </si>
  <si>
    <t>VISITA IMÓVEIS PARA FUTURO ESCRITÓRIO COPERGAS</t>
  </si>
  <si>
    <t>REUNIÃO COM FUTUROS CLIENTES</t>
  </si>
  <si>
    <t>00296</t>
  </si>
  <si>
    <t>VISITA TÉCNICA PARA LICITAÇÃO</t>
  </si>
  <si>
    <t>FERNANDO FRAGUEIRO ALMOFREY</t>
  </si>
  <si>
    <t>LUIZ GONCALVES DA FONSECA NETO</t>
  </si>
  <si>
    <t>LEVANTAMENTO DE VGB'S DOS CLIENTES RESIDENCIAIS E COMERCIAIS</t>
  </si>
  <si>
    <t>Supervisor do Segmento Comercial</t>
  </si>
  <si>
    <t>Técnico Operacional de Conversão e Suporte Técnico</t>
  </si>
  <si>
    <t>DANILO ANTONIO PEREIRA DE MORAIS</t>
  </si>
  <si>
    <t>TULIO HUGO COSTA VIANNA</t>
  </si>
  <si>
    <t>PARA ACOMPANHAR CANTEIRO DE OBRAS DA CONTRATADA RR EM PETROLINA</t>
  </si>
  <si>
    <t>REUNIÃO NIAGRO</t>
  </si>
  <si>
    <t>TÉCNICO DE QSMS</t>
  </si>
  <si>
    <t>TÉCNICO OPERACIONAL DE QSMS</t>
  </si>
  <si>
    <t>COODERNADOR DE QSMS</t>
  </si>
  <si>
    <t>SALGUEIRO</t>
  </si>
  <si>
    <t>PROSPECÇÃO DE CLIENTES GNV</t>
  </si>
  <si>
    <t>FISCALIZAÇÃO DE OBRAS</t>
  </si>
  <si>
    <t>Supervisor do Segmento Veicular</t>
  </si>
  <si>
    <t>Supervisor de Obras</t>
  </si>
  <si>
    <t>VISITA DE OBRA</t>
  </si>
  <si>
    <t>GESTOR DE OBRA</t>
  </si>
  <si>
    <t xml:space="preserve">PE </t>
  </si>
  <si>
    <t>REUNIÃO COM A GOULAR POWER.</t>
  </si>
  <si>
    <t>PRE - PRESIDENTE</t>
  </si>
  <si>
    <t>VISITA OBRA EM PETROLINA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</si>
  <si>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</si>
  <si>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</si>
  <si>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</si>
  <si>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</si>
  <si>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</si>
  <si>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</si>
  <si>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</si>
  <si>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PRE COMISSIONAMENTO RDGN PETROLINA</t>
  </si>
  <si>
    <t>Viagem para fiscalização das obras em Petrolina</t>
  </si>
  <si>
    <t>VILMA OLIVEIRA DE ALBUQUERQUE</t>
  </si>
  <si>
    <t>CARLOS EDUARDO ALBUQUERQUE DOS SANTOS</t>
  </si>
  <si>
    <t>VANDECK SOUZA SANTIAGO</t>
  </si>
  <si>
    <t>NADJA ADRIANE BELTRAO VIEIRA BOMPASTOR</t>
  </si>
  <si>
    <t>WILSON MALINI RIBEIRO</t>
  </si>
  <si>
    <t>HUGO RAFAEL DE MELO SILVEIRA</t>
  </si>
  <si>
    <t>JOSE OLIVEIRA SANTOS JUNIOR</t>
  </si>
  <si>
    <t>COORDENADOR JURIDICO</t>
  </si>
  <si>
    <t>TÉCNICO OPERACIONAL DE CONVERSÃO E SUPORTE</t>
  </si>
  <si>
    <t>GERENTE DE COMERCIALIZAÇÃO VEICULAR E UNDUSTRIAL</t>
  </si>
  <si>
    <t>SUPERVISOR DE DIVULGAÇÃO</t>
  </si>
  <si>
    <t>SECRETARIA EXECUTIVA</t>
  </si>
  <si>
    <t>GESTOR DE OPERAÇÕES</t>
  </si>
  <si>
    <t>COORDENADORA SECRETARIA GERAL</t>
  </si>
  <si>
    <t>INAUGURAÇÃO REDE LOCAL EM PETROLINA.</t>
  </si>
  <si>
    <t>SUPORTE A OBRA BASE PETROLINA</t>
  </si>
  <si>
    <t>PROSPECÇÃO DE CLIENTES</t>
  </si>
  <si>
    <t xml:space="preserve">SOLICITAÇÃO GERADA POIS COLABORADOR NECESSITA FICAR MAIS UM DIA EM PETROLINA. </t>
  </si>
  <si>
    <t>TECNICO OPERACIONAL DE MEDIÇÃO E AUTOMAÇÃO</t>
  </si>
  <si>
    <t>VITÓRIA DA CONQUISTA</t>
  </si>
  <si>
    <t>Benchmarking a posto GNL</t>
  </si>
  <si>
    <t xml:space="preserve">Benchmarking a posto GNL </t>
  </si>
  <si>
    <t>EVENTO PETROLINA</t>
  </si>
  <si>
    <t>FISCALIZAÇÃO DE OBRAS DA COPERGÁS EM PETROLINA</t>
  </si>
  <si>
    <t xml:space="preserve">ACOMPANHAMENTO DAS OBRAS DE EXPANSÃO </t>
  </si>
  <si>
    <t>346</t>
  </si>
  <si>
    <t>Acompanhar os preparativos para inauguração do Posto Distrito, visitas às convertedoras, centros automotivos homologados, inspecionadoras/certificadoras do INMETRO</t>
  </si>
  <si>
    <t>INAUGURAÇÃO POSTO GNV PETROLINA</t>
  </si>
  <si>
    <t>RAFAEL GERSON DE LUNA ALVES</t>
  </si>
  <si>
    <t>SUBSTITUIÇÃO DE FÉRIAS DO TECNICO DE PETROLINA</t>
  </si>
  <si>
    <t>RETORNO PARA RECIFE EM FUNÇÃO DE FÉRIAS</t>
  </si>
  <si>
    <t>Reunião SEINFRA Petrolina</t>
  </si>
  <si>
    <t>Projeto Petrolina - Acompanhamento de obra + visita prefeitura</t>
  </si>
  <si>
    <t>SUBSTITUIÇÃO DE FÉRIAS DO TECNICO OPERACIONAL DE PETROLINA</t>
  </si>
  <si>
    <t>JONAS RAMOS DOS SANTOS</t>
  </si>
  <si>
    <t>SUBSTITUIÇÃO DE FÉRIAS</t>
  </si>
  <si>
    <t xml:space="preserve">INAUGURAÇÃO REDE LOCAL - GARANHUNS </t>
  </si>
  <si>
    <t>ELIAS AMARAL CORREIA</t>
  </si>
  <si>
    <t>THIAGO HERMOGENES DE CASTRO</t>
  </si>
  <si>
    <t>GESTOR DE MEDIÇÃO E CONTROLE</t>
  </si>
  <si>
    <t>COORDENADO MEDIÇÃO E ANALISE DE REDE</t>
  </si>
  <si>
    <t>TÉCNICO OPERACIONAL DE SEGURANÇA DE TRABALHO</t>
  </si>
  <si>
    <t>GESTOR PLANEJAMENTO E CONTRATO</t>
  </si>
  <si>
    <t>SUPERVISOR DE PROCESSO DE QUALIDADE</t>
  </si>
  <si>
    <t>GESTOR DE PROJETO</t>
  </si>
  <si>
    <t>GERENTE DE ADMINISTRAÇÃO E SUPRIMENTO</t>
  </si>
  <si>
    <t>1º REUNIÃO DO GT BIOMETANO</t>
  </si>
  <si>
    <t xml:space="preserve">Participação na 24ª Assembleia de associados, Jantar e Visita Técnica - 12 e 13 de Maio - São Paulo </t>
  </si>
  <si>
    <t>VIAGEM PARA TENTATIVA DE LIBERAÇÃO DA OBRA NA PREFEITURA DE PETROLINA.</t>
  </si>
  <si>
    <t>REUNIÃO ABEGÁS - 12 e 13/05/2022</t>
  </si>
  <si>
    <t>COMITÊ DE AUDITORIA ESTATUTARIA</t>
  </si>
  <si>
    <t>ES</t>
  </si>
  <si>
    <t>VITÓRIA</t>
  </si>
  <si>
    <t>WORKSHOP TECNICO COMERCIAL DAS DISTRIBUIDORAS DE GÁS</t>
  </si>
  <si>
    <t>SEMINÁRIO TÉCNICO ABIOGÁS 2022</t>
  </si>
  <si>
    <t>TREINAMENTO - SINDICÂNCIA E PROCESSO ADMINISTRATIVO</t>
  </si>
  <si>
    <t>SUPERVISORA</t>
  </si>
  <si>
    <t>FOZ DO IGUAÇU</t>
  </si>
  <si>
    <t>REUNIÃO DAS DISTRIBUIDORAS DO NE</t>
  </si>
  <si>
    <t>PARTICPAÇÃO GÁS &amp; ENERGY WEEK</t>
  </si>
  <si>
    <t>VIAGEM PARA SUBSTITUIÇÃO POR FÉRIAS DO TÉCNICO OPERACIONAL PETROLINA</t>
  </si>
  <si>
    <t>3º SEMINÁRIO DAS ESTATAIS</t>
  </si>
  <si>
    <t>JACINTO JUNIOR DE SOUSA</t>
  </si>
  <si>
    <t xml:space="preserve">37º congresso brasileiro </t>
  </si>
  <si>
    <t>Participação de Congresso</t>
  </si>
  <si>
    <t xml:space="preserve">Evento OIL &amp; GÁS </t>
  </si>
  <si>
    <t>Gerente de Administração e Suprimentos</t>
  </si>
  <si>
    <t>Engenheira de Operações</t>
  </si>
  <si>
    <t>Gerente de Comercialização Veicular e Industrial</t>
  </si>
  <si>
    <t>Assistente de Diretoria</t>
  </si>
  <si>
    <t>VISITA CEGÁS</t>
  </si>
  <si>
    <t>COORDENADO DE DISTRIBUIÇÃO</t>
  </si>
  <si>
    <t>5° ENCONTRO NACIONAL DAS ESTATAIS</t>
  </si>
  <si>
    <t>100° ASSEMBLEIA GERAL DE ASSOCIADOS DA ABEGÁS</t>
  </si>
  <si>
    <t>REUNIÃO DE APRESENTAÇÃO DO PLANO DE NEGÓCIO 2023-2028 PARA OS ACIONISTAS</t>
  </si>
  <si>
    <t>REUNIÃO COM A PREFEITURA DE PETROLINA SOBRE PROJETO EXPANSÃO COPERGAS</t>
  </si>
  <si>
    <t>9º FORUM DE BIOGÁS - SP</t>
  </si>
  <si>
    <t>CURSO NR20</t>
  </si>
  <si>
    <t>REUNIÃO SMS - COMMIT</t>
  </si>
  <si>
    <t>SUPERVISOR DO SEGMENTO COMERCIAL E RESIDENCIAL</t>
  </si>
  <si>
    <t>REUNIÃO COM PREFEITO DE PETROLINA</t>
  </si>
  <si>
    <t>curso Auditor Líder de Gestão Integrada ISO 9001 ISO 14001 ISO 45001 RAC</t>
  </si>
  <si>
    <t xml:space="preserve">CONSERTO DE ODORADOR </t>
  </si>
  <si>
    <t>Tributação nos Negócios do Setor de Gás Natural  - UNIBP/RJ</t>
  </si>
  <si>
    <t>1ª Reunião - Comitê Técnico Regulatório Commit &amp; Mitsui</t>
  </si>
  <si>
    <t>reunião rio de janeiro GYPSUM</t>
  </si>
  <si>
    <t>SUBSTITUIÇÃO DE COLABORADOR EM PERÍODO DE FÉRIAS.</t>
  </si>
  <si>
    <t>Supervisor de Orçamento e Contas a Pagar</t>
  </si>
  <si>
    <t>Técnico de Operacional de Operações</t>
  </si>
  <si>
    <t>VITOR DE ALMEIDA DINIZ</t>
  </si>
  <si>
    <t>FELIPE VALENCA DE SOUSA</t>
  </si>
  <si>
    <t>REUNIÃO DIRETORIA COPERGÁS COM DIRETORI AMITSUI E COMMIT- RIO DE JANEIRO E SÃO PAULO</t>
  </si>
  <si>
    <t>REUNIÃO  ABEGÁS</t>
  </si>
  <si>
    <t>SEMINÁRIO GÁS NATURAL IBP - RIO DE JANEIRO</t>
  </si>
  <si>
    <t>SEMINÁRIO GÁS NATURAL - IBP - RIO DE JANEIRO.</t>
  </si>
  <si>
    <t>ASSISTENTE DO DTC</t>
  </si>
  <si>
    <t>ASSISTENTE DO DAF</t>
  </si>
  <si>
    <t>COORDENADOR DE NOVOS NEGOCIOS</t>
  </si>
  <si>
    <t>ALYNE VALENTIM MUNIZ</t>
  </si>
  <si>
    <t>CONFI - CONSELHO FISCAL</t>
  </si>
  <si>
    <t>BRUNO DO PRADO CASTILHO</t>
  </si>
  <si>
    <t>CONSELHO FISCAL</t>
  </si>
  <si>
    <t>GERENTE FINACEIRO</t>
  </si>
  <si>
    <t>AGENDA ANUAL DE VISITA AOS BANCOS - SP. REUNIÃO COMMIT</t>
  </si>
  <si>
    <t>SEMINARIO LEI DAS ESTATAIS aprovado na lnt</t>
  </si>
  <si>
    <t xml:space="preserve"> Energy Forum - IBP</t>
  </si>
  <si>
    <t>PROJETO BIOMETANO PETROLINA(PE)-JUAZEIRO(BA) COM TRAVESSIA DO RIO SAO FRANCISCO.</t>
  </si>
  <si>
    <t>REUNIÃO DO CONSELHO FISCAL</t>
  </si>
  <si>
    <t>Trata-se de viagem para reuniões em SP.</t>
  </si>
  <si>
    <t>Trata-se de viagem REC - SP - REC  a trabalho.</t>
  </si>
  <si>
    <t>VISITAS GYPSUM E NIAGRO</t>
  </si>
  <si>
    <t>Referente viagem para reunião Copergás - EY</t>
  </si>
  <si>
    <t>SÃO LUIZ</t>
  </si>
  <si>
    <t>REUNIÃO MINISTERIAL</t>
  </si>
  <si>
    <t xml:space="preserve">curso Latam e Brazil Oil&amp;Gás Summit 2023 </t>
  </si>
  <si>
    <t>REUNIÃO PETROLINA</t>
  </si>
  <si>
    <t>Treinamento de integração de QSMS para as equipes das contratadas de Caruaru e Garanhuns: Engear, MW e Carplan.</t>
  </si>
  <si>
    <t>TECNICO OPERACIONAL SEGURANÇA DE TRABALHO</t>
  </si>
  <si>
    <t xml:space="preserve">New Fórum de Energia no Rio </t>
  </si>
  <si>
    <t>PARTICIPAR DO RIO PIPELINE -RJ</t>
  </si>
  <si>
    <t>BRUNA TEIXEIRA MACIAS MOURY FERNANDES</t>
  </si>
  <si>
    <t>MANUELA MARANHAO DE AZEVEDO MELLO</t>
  </si>
  <si>
    <t>Workshop ESG Commit</t>
  </si>
  <si>
    <t>FERNANDO DE NORONHA</t>
  </si>
  <si>
    <t>ACOMPANHAENTO CHEGADA NAVIO EM FERANDO DE NORONHA</t>
  </si>
  <si>
    <t>REUNIÃO COM EMPRESA DE ENGENHARIA</t>
  </si>
  <si>
    <t>REUNIÃO FGV</t>
  </si>
  <si>
    <t>SUPERVISOR ORÇAMENTO E CONTAS A PAGAR</t>
  </si>
  <si>
    <t>ISABELLE MIRANDA CESAR</t>
  </si>
  <si>
    <t xml:space="preserve">CONGRESSO ABRAMAN </t>
  </si>
  <si>
    <t>VISITA AO POLO GESSEIRO</t>
  </si>
  <si>
    <t>APRESENTAÇÃO 1ST PASS</t>
  </si>
  <si>
    <t>ABEGAS</t>
  </si>
  <si>
    <t>VISITA A PETROBRAS</t>
  </si>
  <si>
    <t>MEDIAÇÃO FGV</t>
  </si>
  <si>
    <t>INTEGRAÇÃO DE SEGURANÇA</t>
  </si>
  <si>
    <t>REUNIÃO DE COMITE DE PRATICAS CONTABEIS</t>
  </si>
  <si>
    <t>BERNARDO CAVENDISH DUARTE RIBEIRO</t>
  </si>
  <si>
    <t>APRESENTAÇÃO DE ORÇAMENTO</t>
  </si>
  <si>
    <t>APRESENTAÇÃO DE ORÇAMENTO E REUNIÃO FITCH</t>
  </si>
  <si>
    <t>TREINAMENTO DE INTEGRAÇÃO DE CONTRATADAS</t>
  </si>
  <si>
    <t>REFRENTE VIAGEM PARA ABEGÁS EM MACEIÓ.</t>
  </si>
  <si>
    <t>TECNICO OPERACIONAL QSMS</t>
  </si>
  <si>
    <t>ENGENHEIRA DE QSMS</t>
  </si>
  <si>
    <t>LEGILMO MARCELO FONTES DE OLIVEIRA</t>
  </si>
  <si>
    <t>SICOLOS &amp; COPERGÁS - CONVITE PARA O RPA &amp; IA CONGRESSO BA</t>
  </si>
  <si>
    <t>CLEITON OLEGARIO DA SILVA</t>
  </si>
  <si>
    <t>VINICIUS MACEDO BEZERRA</t>
  </si>
  <si>
    <t>BENCHMARKING SUPRIMENTO DE GN NA BAHIAGÁS</t>
  </si>
  <si>
    <t>TIAGO LEVI DINIZ LIMA</t>
  </si>
  <si>
    <t>JUAZEIRO DO NORTE</t>
  </si>
  <si>
    <t>CGCR - COORDENADORIA DE GOV, CONFORM E RISCOS</t>
  </si>
  <si>
    <t>VIAGEM PARA EXPOGESSO</t>
  </si>
  <si>
    <t>TREINAMENTO E INSPEÇÃO DE OBRA DA UNIFORTE (CONTRATO DTC 028/23).</t>
  </si>
  <si>
    <t>Avaliação dos 15 Compromissos de SMS</t>
  </si>
  <si>
    <t>TREINAMENTO AVALIAÇÃO DOS 15 COMPROMISSOS DE SMS</t>
  </si>
  <si>
    <t>INTERNACIONAL</t>
  </si>
  <si>
    <t>ORLANDO</t>
  </si>
  <si>
    <t>GARTNER - IT Symposium - Xpo.2023 - October 16 - 19, 2023.</t>
  </si>
  <si>
    <t xml:space="preserve">10º FÓRUM DE RH </t>
  </si>
  <si>
    <t>REGULATÓRIO - COMMIT</t>
  </si>
  <si>
    <t>PARTICIPAR DO  Evento - Agenda Temática XII Seminário Internacional Frotas &amp; Fretes Verdes 2023.</t>
  </si>
  <si>
    <t>PARTICIPAR DO  EVENTO - AGENDA TEMÁTICA XII SEMINÁRIO INTERNACIONAL FROTAS &amp; FRETES VERDES 2023.</t>
  </si>
  <si>
    <t>GIS DAY GÁS 2023</t>
  </si>
  <si>
    <t>ARARIPINA</t>
  </si>
  <si>
    <t>Evento Regulatório Commit/Mitsui - Quantum</t>
  </si>
  <si>
    <t>EVENTO REGULATÓRIO COMMIT/MITSUI - QUANTUM</t>
  </si>
  <si>
    <t>REUNIÃO COM O BANCO SAFRA E CAIXA ECONOMICA - SP / XIII CONGRESSO BRASILEIRO DA ABAR - SP</t>
  </si>
  <si>
    <t xml:space="preserve">XII SEMINÁRIO FROTAS &amp; FRETES VERDES </t>
  </si>
  <si>
    <t>SUBSTITUIÇÃO EM FÉRIAS DO COLABORADOR HUGO DINIZ, LOTADO EM PETROLINA-PE.</t>
  </si>
  <si>
    <t>GERENTE DE TI</t>
  </si>
  <si>
    <t>TECNICO OPERACIONAL DE OPERAÇÃO E SUPORTE DE REDE</t>
  </si>
  <si>
    <t>SUPERVISOR FINANCEIRO</t>
  </si>
  <si>
    <t>SUPERVSIOR DE LOGISTICA</t>
  </si>
  <si>
    <t>ENGENHEIRO DE OPERAÇÃO E SUPORTE DE REDE</t>
  </si>
  <si>
    <t>COORDENADOR DE GORVENANÇA, CONFORMIDADE E RISCOS</t>
  </si>
  <si>
    <t>ASSISTENTE DO PRE</t>
  </si>
  <si>
    <t>TECNICO OPERACIONAL DE QSMS</t>
  </si>
  <si>
    <t>SUPERVISOR DE SEGMENTO INDUSTRIAL</t>
  </si>
  <si>
    <t>GERENTE DE RH</t>
  </si>
  <si>
    <t>JOSÉ EUDES LIMA UCHOA</t>
  </si>
  <si>
    <t>ASSEMBLEIA GERAL E CONSELHO DE ADMINISTRAÇÃO - ABEGÁS.</t>
  </si>
  <si>
    <t xml:space="preserve">Jantar de Confraternização dos Associados, a convite da COMMIT GÁS </t>
  </si>
  <si>
    <t>VISITA NA SCANIA E MWM</t>
  </si>
  <si>
    <t>REUNIÃO NORGÁS.</t>
  </si>
  <si>
    <t>VISITA A CLIENTES</t>
  </si>
  <si>
    <t>Reunião GT Contabilidade</t>
  </si>
  <si>
    <t>VIAGEM FISCALIZAÇÃO DE OBRAS EM PETROLINA</t>
  </si>
  <si>
    <t>COORDENADOR DA SECRETARIA GERAL</t>
  </si>
  <si>
    <t>SUPERVISOR DO SEGMENTO INDUSTRIAL</t>
  </si>
  <si>
    <t>ASSISTENTE PRE</t>
  </si>
  <si>
    <t>Representar a Copergás no II Encontro de SMS</t>
  </si>
  <si>
    <t>VISTAS NA SCANIA E MWM</t>
  </si>
  <si>
    <t>REUNIÃO COMMIT</t>
  </si>
  <si>
    <t>TASSO FERREIRA DE MORAES NETTO</t>
  </si>
  <si>
    <t>FISCALIZAÇÃO DA OBRA DO BOLSÃO EM PEAD - UNIFORT</t>
  </si>
  <si>
    <t>Gerente Comercial Veicular e Industrial</t>
  </si>
  <si>
    <t>REUNIÕES</t>
  </si>
  <si>
    <t>Viagem para Araripina via Petrolina de 05.02 até 07.02.
Anúncio da Chegada do Gás no polo Industrial.</t>
  </si>
  <si>
    <t>REUNIÕES E EVENTO GEO DAY - CARBONO VERDE COMO SOLUÇÃO.</t>
  </si>
  <si>
    <t>Participação em Workshop Abegás-TAG e visita às instalações TAG (28 e 29/02)</t>
  </si>
  <si>
    <t>REUNIÃO GÁS LOCAL E NFE-JUNDIAÍ</t>
  </si>
  <si>
    <t>Workshop ABEGÁS e TAG: Transporte de Gás Natural no Brasil</t>
  </si>
  <si>
    <t xml:space="preserve">Workshop ABEGÁS e TAG: Transporte de Gás Natural no Brasil; GEO DAY  CARBONO VERDE COMO SOLUÇÃO
</t>
  </si>
  <si>
    <t>ENGENHEIRO DE CONSTRUÇÃO E OBRA</t>
  </si>
  <si>
    <t>REUNIÃO SULGÁS</t>
  </si>
  <si>
    <t>REUNIÃO  DO PRESIDENTES DAS CDL's.</t>
  </si>
  <si>
    <t>REUNIÃO NA SULGÁS E PARTICIPAÇÃO NA ABEGÁS.</t>
  </si>
  <si>
    <t>EVENTO CTGÁS</t>
  </si>
  <si>
    <t>Instalação do firewall na base operacional de Petrolina</t>
  </si>
  <si>
    <t>Reunião na Sulgás e participação na 108ª Assembleia Geral de Associados.</t>
  </si>
  <si>
    <t>TACIANA DANZI OLIVIERA AMARAL ALVES</t>
  </si>
  <si>
    <t>BAHIA</t>
  </si>
  <si>
    <t xml:space="preserve"> participação NO Data &amp; Analytics (Gartner).</t>
  </si>
  <si>
    <t>ABAR - participação II Encontro Nacional de agências reguladoras</t>
  </si>
  <si>
    <t>VISITA CEGAS</t>
  </si>
  <si>
    <t>PARTICIPAR DO EVENTO - FUTURO DO PROCESSO DE GESTÃO DE RISCOS EMPRESARIAIS - PROMOVIDA PELA DELOITTE</t>
  </si>
  <si>
    <t>Fórum ESG 2024 - Ancham</t>
  </si>
  <si>
    <t xml:space="preserve">Fórum ESG 2024 - Amcham
Reunião com BNDES
ABEGÁS:  Fórum Nacional Transição Energética </t>
  </si>
  <si>
    <t>REUNIÃO COM O BNDES</t>
  </si>
  <si>
    <t>Fórum Ancham ESG</t>
  </si>
  <si>
    <t>SUPERVISOR DE LOGISTICA DO GAS</t>
  </si>
  <si>
    <t>DANILLO RAMOS CAMARGO</t>
  </si>
  <si>
    <t>ANDREA MOURA BEZERRA DE MENEZES</t>
  </si>
  <si>
    <t>VISITA ARARIPINA / PETROLINA</t>
  </si>
  <si>
    <t xml:space="preserve"> REUNIÃO NA SCANIA COM GOVERNO DE PE.</t>
  </si>
  <si>
    <t>Visita  Planta de Liquefação  da Eneva</t>
  </si>
  <si>
    <t>TERESINA</t>
  </si>
  <si>
    <t>Participação em evento.</t>
  </si>
  <si>
    <t>Evento do Segmento Residencial em Petrolina</t>
  </si>
  <si>
    <t>Viagem para reunião no Rio de Janeiro</t>
  </si>
  <si>
    <t>Participar do Bahia Oil &amp; Gas</t>
  </si>
  <si>
    <t>FISCALIZAÇÃO OBRA PETROLINA</t>
  </si>
  <si>
    <t>SEMINÁRIO EXCELÊNCIA NAS CONTRATAÇÕES DAS EMPRESAS ESTATAIS - ESTATAIS 2024</t>
  </si>
  <si>
    <t>ENGENHEIRO DE OPERAÇÃO E SUPORTE À REDE</t>
  </si>
  <si>
    <t>COORDENADORA DE QSMS</t>
  </si>
  <si>
    <t>SUPERVISOR DE SEGMENTO VEICULAR</t>
  </si>
  <si>
    <t>Participar Evento Encontro CDL's NE - Grupo Potigás.</t>
  </si>
  <si>
    <t>Visita a COMGÁS</t>
  </si>
  <si>
    <t xml:space="preserve">prospecção de clientes </t>
  </si>
  <si>
    <t>Treinamento para especialista em Proteção Catódica realizado pela AMPP</t>
  </si>
  <si>
    <t>Reunião ABEGÁS</t>
  </si>
  <si>
    <t>Encontro de Geoprocessamento das Empresas distribuidora de Gás.</t>
  </si>
  <si>
    <t>Inspeção na unidade de regaesificação.</t>
  </si>
  <si>
    <t>Encontro de Usuários GIS 2024 na Sede da Bahiagás</t>
  </si>
  <si>
    <t>ASSITENTE PRE</t>
  </si>
  <si>
    <t>YECNICO OPERACIONAL DE OPERAÇÕES E SUPORTE A REDE</t>
  </si>
  <si>
    <t>VIAGEM PARA REUNIÕES NA PETROBRAS/ TAG E DEMAIS.... ALINHAMENTO PARA ESTRUTURAR ABEGÁS QUE FAREMOS EM RECIFE.</t>
  </si>
  <si>
    <t>REUNIÃO COM TAG E PARTICIPAÇÃO NA SERGÁS</t>
  </si>
  <si>
    <t>DTC - DIRETORIA TECNICO COMERCIAL</t>
  </si>
  <si>
    <t>FELIPE VALENÇA DE SOUSA</t>
  </si>
  <si>
    <t>Origem/Destino</t>
  </si>
  <si>
    <t>RECIFE X SÃO PAULO X RECIFE</t>
  </si>
  <si>
    <t>RECIFE X SÃO PAULO</t>
  </si>
  <si>
    <t>SÃO PAULO X SALVADOR</t>
  </si>
  <si>
    <t>SÃO PAULO X RECIFE</t>
  </si>
  <si>
    <t>RIO DE JANEIRO X RECIFE</t>
  </si>
  <si>
    <t>RECIFE X RIO DE JANEIRO X RECIFE</t>
  </si>
  <si>
    <t>RECIFE X TERESINA X RECIFE</t>
  </si>
  <si>
    <t>RECIFE X SALVADOR X RECIFE</t>
  </si>
  <si>
    <t>CURITIBA X SÃO PAULO</t>
  </si>
  <si>
    <t>SÃO PAULO X RIO DE JANEIRO</t>
  </si>
  <si>
    <t>RIO DE JANEIRO X SÃO PAULO X RECIFE</t>
  </si>
  <si>
    <t>Participar da Feira Latinoamericana do Transporte e reunião com a Scania.</t>
  </si>
  <si>
    <t>MANUELA MELLO</t>
  </si>
  <si>
    <t>JACINTO SOUSA</t>
  </si>
  <si>
    <t>Evento (Aniversário de 30 anos da Compagás) e reunião na Compagás</t>
  </si>
  <si>
    <t>Reuniões em São Paulo</t>
  </si>
  <si>
    <t>23° Fórum Empresarial LIDE</t>
  </si>
  <si>
    <t>Participar de reuniões.</t>
  </si>
  <si>
    <t>DIEGO LIMA</t>
  </si>
  <si>
    <t>RECIFE X CURITIBA</t>
  </si>
  <si>
    <t>RECIFE X CURITIBA x RECIFE</t>
  </si>
  <si>
    <t xml:space="preserve">Reunião na Mitsui </t>
  </si>
  <si>
    <t>Planta de Regaseificação da ENEVA</t>
  </si>
  <si>
    <t>Acompanhamento de TAF de 2 sistemas de cromatografia na Delmar (Salvador-BA)</t>
  </si>
  <si>
    <t xml:space="preserve">Gas &amp; Energy Week </t>
  </si>
  <si>
    <t>SÃO PAULO X RIO DE JANEIRO X RECIFE</t>
  </si>
  <si>
    <t>Antecipação de volta à Recife. AF 59085</t>
  </si>
  <si>
    <t>Antecipação de volta à Recife AF 59112</t>
  </si>
  <si>
    <t>Antecipação de volta à Recife AF 59110</t>
  </si>
  <si>
    <t>Antecipação de volta à Recife. AF 59084</t>
  </si>
  <si>
    <t>A passagem de volta (28/08/24) irá gerar um crédito, pois o voo foi antecipado. AF 58732</t>
  </si>
  <si>
    <t>A passagem de volta (28/08/24) irá gerar um crédito, pois o voo foi antecipado. AF 58731</t>
  </si>
  <si>
    <t>Zanella não viajou. Pedro foi em seu lugar. AF 58997</t>
  </si>
  <si>
    <t>AF 58799</t>
  </si>
  <si>
    <t>AF 59081. DEVIDO VIAGEM A RIBEIRÃO PRETO, FOI NECESSÁRIO MODIFICAR BILHETE ANTERIORMENTE EMITIDO REC/GIG PARA RAO/SDU.</t>
  </si>
  <si>
    <t>AF 58813</t>
  </si>
  <si>
    <t>DIRETOR DTC</t>
  </si>
  <si>
    <t>DIRETORA DAF</t>
  </si>
  <si>
    <t>GERENTE COMERCIAL VEICULAR E INDUSTRIAL</t>
  </si>
  <si>
    <t>ENGENHEIRO DE CONTRUÇÃO DE OBRAS</t>
  </si>
  <si>
    <t>ASSISTENTE DTC</t>
  </si>
  <si>
    <t>GCVI - GERÊNCIA COMERCIAL VEICULAR E INDUSTRIAL</t>
  </si>
  <si>
    <t>GERE - GERÊNCIA DE ENGENHARIA</t>
  </si>
  <si>
    <t>GFIN - GERÊNCIA FINANCEIRA</t>
  </si>
  <si>
    <t>CGCR - COORD. DE GOVERNANÇA, CONFORMIDADE E RISCOS</t>
  </si>
  <si>
    <t>COORD. CGCR</t>
  </si>
  <si>
    <t>COORD DE MEDIÇÃO E ANÁLISE DE REDE</t>
  </si>
  <si>
    <t>ANDERSON BOMFIM PINHEIRO</t>
  </si>
  <si>
    <t>Participação do Comitê de Auditoria Estatutária</t>
  </si>
  <si>
    <t>CONSELHEIRO</t>
  </si>
  <si>
    <t>RODRIGO FREITAS CAYRES</t>
  </si>
  <si>
    <t>Participação da Missão Net Zero 2024 - Amcham.</t>
  </si>
  <si>
    <t>LONDRES X LISBOA</t>
  </si>
  <si>
    <t>AMSTERDAN X LONDRES</t>
  </si>
  <si>
    <t>RECIFE X CAMPINAS X PRES. PRUDENTE</t>
  </si>
  <si>
    <t>PRES. PRUDENTE X CAMPINAS X RECIFE</t>
  </si>
  <si>
    <t>Participar de reuniões e visita</t>
  </si>
  <si>
    <t>Participar do Rio Oil &amp; Gás</t>
  </si>
  <si>
    <t xml:space="preserve">BERNARDO RIBEIRO </t>
  </si>
  <si>
    <t>ABEGÁS - Evento O papel do Gás Natural e Biometano na Transição Energética Justa, Acessível e Sustentável</t>
  </si>
  <si>
    <t>RECIFE X BRASÍLIA X RECIFE</t>
  </si>
  <si>
    <t>BRUNA MACIAS</t>
  </si>
  <si>
    <t>GMAR - GERÊNCIA DE MEDIÇÃO E ANÁLISE DE REDE</t>
  </si>
  <si>
    <t>HUGO RAFAEL SILVEIRA</t>
  </si>
  <si>
    <t>JOÃO ALFREDO DE MORAIS GUERRA</t>
  </si>
  <si>
    <t>GCRC - GERêNCIA COMERCIAL RESIDENCIAL E COMERCIAL</t>
  </si>
  <si>
    <t>SUPERVIDOR RESIDENCIAL</t>
  </si>
  <si>
    <t>GERENTE GCRC</t>
  </si>
  <si>
    <t>A viagem a trabalho foi entre os dias 8 e 9 de agosto. O colaborador ficou dias a mais por conta própria</t>
  </si>
  <si>
    <t>EVELLYN GOMES</t>
  </si>
  <si>
    <t>FRANCISCO GOMES</t>
  </si>
  <si>
    <t>ANALISTA</t>
  </si>
  <si>
    <t>WALTER SOUZA FILHO</t>
  </si>
  <si>
    <t>RECIFE X PETROLINA X RECIFE</t>
  </si>
  <si>
    <t>GDIS - GERÊNCIA DE DISTRIBUIÇÃO</t>
  </si>
  <si>
    <t>foi solicitada a emissão da passagem do trecho CGH X REC, para o dia 22/08, na companhia azul</t>
  </si>
  <si>
    <t>foi solicitada uma nova emissão, devido a um imprevisto, na companhia Gol, em um novo horário</t>
  </si>
  <si>
    <t>Remarcação</t>
  </si>
  <si>
    <t>Antecipação de volta à Recife AF 59085</t>
  </si>
  <si>
    <t>Antecipação de volta à Recife AF 5912</t>
  </si>
  <si>
    <t>SALVADOR X RIO DE JANEIRO</t>
  </si>
  <si>
    <t>15/0/2024</t>
  </si>
  <si>
    <t>AF 58784</t>
  </si>
  <si>
    <t>CONGONHAS X RIO DE JANEIRO</t>
  </si>
  <si>
    <t>GCON - GERÊNCIA DE CONTABILIDADE</t>
  </si>
  <si>
    <t>COORDENADORA QSMS</t>
  </si>
  <si>
    <t>GERENTE CONTÁBIL</t>
  </si>
  <si>
    <t>Nº 1551</t>
  </si>
  <si>
    <t>COORD PLANEJAMENTO</t>
  </si>
  <si>
    <t>Visita técnica de instalação da ERPM da SM Gesso</t>
  </si>
  <si>
    <t>CAE - Comitê de Auditoria Estatutário</t>
  </si>
  <si>
    <t>Encontro do Segmento Residencial da Abegás, realizado na COMGÁS</t>
  </si>
  <si>
    <t>QSMS - Qualidade, Seguraça, Meio Ambiente e Saúde</t>
  </si>
  <si>
    <t>MARIA CLARA PEREIRA DE OLIVEIRA</t>
  </si>
  <si>
    <t>SUPERVISORA CONTÁBIL</t>
  </si>
  <si>
    <t>CAMPINAS/SP X RECIFE X CAMPINAS/SP</t>
  </si>
  <si>
    <t>LEGILMO MARCELO OLIVEIRA</t>
  </si>
  <si>
    <t>GETI - GERÊNCIA DE TECNOLOGIA</t>
  </si>
  <si>
    <t>Reunião na Mistsiu e encontro de contabilidade da ABEGAS</t>
  </si>
  <si>
    <t>CARLOS EDUARDO ALCOFORADO</t>
  </si>
  <si>
    <t>CJUR - Coordenadoria Jurídica</t>
  </si>
  <si>
    <t>Coord Jurídico</t>
  </si>
  <si>
    <t>11º Fórum do Biogás no Rio de Janeiro</t>
  </si>
  <si>
    <t>Visitar empresas de ERP</t>
  </si>
  <si>
    <t>PATRICIA ZARIFE COX</t>
  </si>
  <si>
    <t>RECIFE X ORLANDO X RECIFE</t>
  </si>
  <si>
    <t>Evento Gartner</t>
  </si>
  <si>
    <t>TACIANA ALVES</t>
  </si>
  <si>
    <t>RECIFE X CAMPINA/SP X RECIFE</t>
  </si>
  <si>
    <t>Missão Técnica: Tubos, Conexões e Acessórios Multicamadas - EMMETI - Itália.</t>
  </si>
  <si>
    <t>ENGENHEIRO</t>
  </si>
  <si>
    <t>TÉCNICA OPERACIONAL</t>
  </si>
  <si>
    <t>Realização de TAF da ETC BIOMETANO, no município de SALTO-SP.</t>
  </si>
  <si>
    <t>Feira Internacional de Segurança e Proteção em SP</t>
  </si>
  <si>
    <t>CPLA - COORDENADORIA DE PLANEJAMENTO ESTRATÉGICO</t>
  </si>
  <si>
    <t>Reunião com consultoria estratégica</t>
  </si>
  <si>
    <t>CLEBSON CAMPELO</t>
  </si>
  <si>
    <t>TAF DO PAINEL PLC</t>
  </si>
  <si>
    <t>GETÚLIO MELO</t>
  </si>
  <si>
    <t xml:space="preserve">VIAGEM DE FISCALIZAÇÃO DA OBRA DO BOLSÃO DE PETROLINA FASE 2A. </t>
  </si>
  <si>
    <t>JEAN CARLO DO NASCIMENTO</t>
  </si>
  <si>
    <t>FISCALIZAÇÃO DA OBRA DO BOLSÃO PETROLINA FASE 2A</t>
  </si>
  <si>
    <t>Prospecção de Clientes - Araripina</t>
  </si>
  <si>
    <t>TÚLIO VIANA</t>
  </si>
  <si>
    <t>RENATA ALBUQUERQUE</t>
  </si>
  <si>
    <t>DANILO PAVEL</t>
  </si>
  <si>
    <t>AFRÂNIO SILVA</t>
  </si>
  <si>
    <t>ADRIANA GOMES</t>
  </si>
  <si>
    <t>Analista</t>
  </si>
  <si>
    <t>RECIFE X SÃO PAULO/CGH X RECIFE</t>
  </si>
  <si>
    <t>COMUN - COMUNICAÇÃO</t>
  </si>
  <si>
    <t>THIAGO FERNANDES</t>
  </si>
  <si>
    <t>Treinamento da CETESB, em São Paulo.</t>
  </si>
  <si>
    <t>INST - INSTITUCIONAL</t>
  </si>
  <si>
    <t>Conferência Ibero-Brasileira de energia</t>
  </si>
  <si>
    <t>RECIFE X LISBOA X RECIFE</t>
  </si>
  <si>
    <t>MARIA CLARA OLIVEIRA</t>
  </si>
  <si>
    <t>RECIFE X FORTALEZA X RECIFE</t>
  </si>
  <si>
    <t>GCON - GERêNCIA DE CONTABILIDADE</t>
  </si>
  <si>
    <t>WALTER FILHO</t>
  </si>
  <si>
    <t>SALVADOR X RECIFE X SALVADOR</t>
  </si>
  <si>
    <t>Substituição de férias do colaborador Hugo Diniz (Petrolina)</t>
  </si>
  <si>
    <t>Reunião GT de Contabilidade ABEGÁS 28 e 29 de novembro</t>
  </si>
  <si>
    <t>RD SUMMIT</t>
  </si>
  <si>
    <t>JULIO CESAR FRANCA DE SANTANA</t>
  </si>
  <si>
    <t>RENATA DAMASIO</t>
  </si>
  <si>
    <t>GADS - GERêNCIA DE ADM E SUPRIMENTOS</t>
  </si>
  <si>
    <t>ENGENHEIRA</t>
  </si>
  <si>
    <t>SUPERVISOR</t>
  </si>
  <si>
    <t>Treinamento sobre e-social</t>
  </si>
  <si>
    <t>Suporte durante férias do Técnico Hugo Diniz</t>
  </si>
  <si>
    <t>ABEGÁS/Reuniões diversas.</t>
  </si>
  <si>
    <t>GERENTE FISCAL</t>
  </si>
  <si>
    <t>JOSE EUDES UCHOA</t>
  </si>
  <si>
    <t>QSMS - QUALIDADE, SEGURAÇA, MEIO AMBIENTE E SAÚDE</t>
  </si>
  <si>
    <t>COORDENADOR DE MEDIÇÃO E ANÁLISE DE REDE</t>
  </si>
  <si>
    <t>RIO DE JANEIRO X SÃO PAULO</t>
  </si>
  <si>
    <t>REPRESENTAÇÃO DA COORDENADORIA DE QSMS NA REUNIÃO MITSUI</t>
  </si>
  <si>
    <t>PARTICIPAR REUNIÃO E EVENTO ABEGÁS - JANTAR COMMIT</t>
  </si>
  <si>
    <t>Evento Premiação PEx 2024 | Jantar Anual dos Associados da ABEGÁS</t>
  </si>
  <si>
    <t>Evento - Petroreconcavo - Gás em Movimento: Conectando o Futuro</t>
  </si>
  <si>
    <t>Teste de Aceitação de Fábrica - Cromatógrafo de Gás Biometano</t>
  </si>
  <si>
    <t>VIAGEM PARA O RIO DE JANEIRO ACOMPANHANDO OS SERCRETÁRIOS GUILHERME CAVALCANTI E MAURÍCIO LARANJEIRAS, DE 16/12 ATÉ 18/12.
PARTICIPARÃO DE REUNIÕES NA ENERGIZA, MITSUI, SUMITOMO, PETROBRÁS E BRAVA.</t>
  </si>
  <si>
    <t>RUBENS SILVA JUNIOR</t>
  </si>
  <si>
    <t>COORD. INSTITUCIONAL</t>
  </si>
  <si>
    <t>ENCONTRO DAS CIAS DE GÁS - SALVADOR</t>
  </si>
  <si>
    <t>LEANDRO ARAUJO</t>
  </si>
  <si>
    <t>FORTALEZA X RECIFE</t>
  </si>
  <si>
    <t>GESTOR DE PLANEJ E CONTROLE DE CONTRATOS</t>
  </si>
  <si>
    <t>GERE - GERENCIA DE ENGENHARIA</t>
  </si>
  <si>
    <t>CONSELHEIRO - NORGÁS</t>
  </si>
  <si>
    <t>TEC OPERACIONAL</t>
  </si>
  <si>
    <t>Reunião na ES Gás.</t>
  </si>
  <si>
    <t>CONSELHEIRO FISCAL</t>
  </si>
  <si>
    <t>SUBSTITUIÇÃO DE FÉRIAS DO COLABORADOR HUGO DINIZ</t>
  </si>
  <si>
    <t>RECIFE X VITÓRIA X RECIFE</t>
  </si>
  <si>
    <t>Reunião na Copergás do Conselho Fiscal</t>
  </si>
  <si>
    <t>BRUNO MONTEIRO COSTA</t>
  </si>
  <si>
    <t>WEBSON KLEITON DOS SANTOS</t>
  </si>
  <si>
    <t>RECIFE X FORTALEZA</t>
  </si>
  <si>
    <t xml:space="preserve">DIRETOR PRESIDENTE </t>
  </si>
  <si>
    <t>COORD JURIDICO</t>
  </si>
  <si>
    <t>GCRC - GERENCIA RESIDENCIAL E COMERCIAL</t>
  </si>
  <si>
    <t>SUPERVISOR RESIDENCIAL</t>
  </si>
  <si>
    <t>SUPERVISOR INDUSTRIAL</t>
  </si>
  <si>
    <t>GERENTE GCVI</t>
  </si>
  <si>
    <t>CAPTAÇÃO DE CLIENTES</t>
  </si>
  <si>
    <t>PRESPECÇÃO DE CLIENTES</t>
  </si>
  <si>
    <t>RECIFE X BRASILIA X RECIFE</t>
  </si>
  <si>
    <t>RECIFE X RIO DE JANEIRO</t>
  </si>
  <si>
    <t>MILTON RICARDO SILVA</t>
  </si>
  <si>
    <t>RECIFE X SALVADOR</t>
  </si>
  <si>
    <t>GFIN- GERENCIA FINANCEIRA</t>
  </si>
  <si>
    <t>GCON - GERENCIA DE CONTABILIDADE</t>
  </si>
  <si>
    <t>GERENTE CONTÁBEIS</t>
  </si>
  <si>
    <t>ASSISTENTE DAF</t>
  </si>
  <si>
    <t>GAS WEEK 2025</t>
  </si>
  <si>
    <t>III SEMINÁRIO NOVA REFORMA TRIBUTÁRIA - FGV/FIRJAN (RJ)</t>
  </si>
  <si>
    <t>VISITA BB - SANTANDER - DAYCOVAL - SP</t>
  </si>
  <si>
    <t>VIAGEM DE RETORNO VISITA DOS REPS MITSUI.</t>
  </si>
  <si>
    <t>Reunião sobre tema regulatório.</t>
  </si>
  <si>
    <t>Evento Sindcombustíveis + Visita Gypsum</t>
  </si>
  <si>
    <t>Viagem P/ Reunião sobre tema regulatório/Rio de Janeiro.</t>
  </si>
  <si>
    <t>Ref. antecipação do bilhete da volta da viagem ao RJ - Reunião Mitsui.</t>
  </si>
  <si>
    <t>Reunião com Mitsui e Norgás (Tratar da PPN).</t>
  </si>
  <si>
    <t>DAVID ARAGÃO</t>
  </si>
  <si>
    <t>RECIFE X RIO DE JANEIRO X MINAS GERAIS X RIO DE JANEIRO X RECIFE</t>
  </si>
  <si>
    <t>BRUNA FERNANDES</t>
  </si>
  <si>
    <t>PETROLINA X RECIFE</t>
  </si>
  <si>
    <t>RECIFE X SÃO PAULO X VITÓRIA</t>
  </si>
  <si>
    <t>VITORIA X BELO HORIZONTE X RECIFE</t>
  </si>
  <si>
    <t>RECIFE X BELO HORIZONTE X VITORIA X BELO HORIZONTE X RECIFE</t>
  </si>
  <si>
    <t>BRUNO COSTA</t>
  </si>
  <si>
    <t>GERO - GERENCIA DE REGULAÇAO E ORÇAMENTO</t>
  </si>
  <si>
    <t>GMAR - GERENCIA DE MEDIÇÃO E ANÁLISE DE REDE</t>
  </si>
  <si>
    <t>COORD QSMS</t>
  </si>
  <si>
    <t>ASSIST. DAF</t>
  </si>
  <si>
    <t>SUPERVISOR GERO</t>
  </si>
  <si>
    <t>COORD GMAR</t>
  </si>
  <si>
    <t>DIRETOR PRE</t>
  </si>
  <si>
    <t>TECNICO OPERACIONAL</t>
  </si>
  <si>
    <t>Viagem para  2º Encontro da do Segmento Residencial da ABEGÁS.</t>
  </si>
  <si>
    <t>Vistoria de canteiro e treinamento de integração de funcionários da contratada Repare em Petrolina.</t>
  </si>
  <si>
    <t>Visita à ESGÁS para BENCHMARKING MERCADO LIVRE</t>
  </si>
  <si>
    <t xml:space="preserve"> Minuta CUSD - Modelo ARSP ES</t>
  </si>
  <si>
    <t>REUNIÃO EM BRASÍLIA-DF</t>
  </si>
  <si>
    <t xml:space="preserve">Congresso Nacional de ESG </t>
  </si>
  <si>
    <t>Treinamento de Investigação de Acidente na unidade da Energisa em Cataguases - MG</t>
  </si>
  <si>
    <t>PROSPECÇÃO E CAPTAÇÃO DE CLIENTES EM PETROLINA</t>
  </si>
  <si>
    <t>REF. VIAGEM RETORNO A SALVADOR - SEMANA REUNIÃO/VISITA MITSUI.</t>
  </si>
  <si>
    <t>Workshop Transição energética e oportunidades de mercado para o Gás Natural e Biometano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</si>
</sst>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R$&quot;\ #,##0;[Red]\-&quot;R$&quot;\ #,##0"/>
    <numFmt numFmtId="44" formatCode="_-&quot;R$&quot;\ * #,##0.00_-;\-&quot;R$&quot;\ * #,##0.00_-;_-&quot;R$&quot;\ * &quot;-&quot;??_-;_-@_-"/>
    <numFmt numFmtId="164" formatCode="[$R$]#,##0.00"/>
    <numFmt numFmtId="165" formatCode="mmm/yyyy"/>
    <numFmt numFmtId="166" formatCode="[$R$-416]&quot; &quot;#,##0.00;[Red]&quot;-&quot;[$R$-416]&quot; &quot;#,##0.00"/>
    <numFmt numFmtId="167" formatCode="[$R$-416]\ #,##0.00"/>
    <numFmt numFmtId="168" formatCode="&quot;R$&quot;\ #,##0.00"/>
    <numFmt numFmtId="169" formatCode="_-[$R$-416]\ * #,##0.00_-;\-[$R$-416]\ * #,##0.00_-;_-[$R$-416]\ * &quot;-&quot;??_-;_-@_-"/>
  </numFmts>
  <fonts count="78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Arial"/>
      <family val="2"/>
    </font>
    <font>
      <sz val="11"/>
      <color rgb="FF000000"/>
      <name val="Cambria"/>
      <family val="1"/>
      <scheme val="major"/>
    </font>
  </fonts>
  <fills count="13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theme="0" tint="-0.14999847407452621"/>
      </patternFill>
    </fill>
    <fill>
      <patternFill patternType="solid">
        <fgColor theme="2"/>
        <b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59" fillId="2" borderId="0" applyNumberFormat="0" applyFont="0" applyBorder="0" applyProtection="0"/>
    <xf numFmtId="0" fontId="60" fillId="0" borderId="0" applyNumberFormat="0" applyBorder="0" applyProtection="0">
      <alignment horizontal="center"/>
    </xf>
    <xf numFmtId="0" fontId="60" fillId="0" borderId="0" applyNumberFormat="0" applyBorder="0" applyProtection="0">
      <alignment horizontal="center" textRotation="90"/>
    </xf>
    <xf numFmtId="0" fontId="61" fillId="0" borderId="0" applyNumberFormat="0" applyBorder="0" applyProtection="0"/>
    <xf numFmtId="166" fontId="61" fillId="0" borderId="0" applyBorder="0" applyProtection="0"/>
    <xf numFmtId="0" fontId="58" fillId="0" borderId="0"/>
    <xf numFmtId="44" fontId="59" fillId="0" borderId="0" applyFont="0" applyFill="0" applyBorder="0" applyAlignment="0" applyProtection="0"/>
    <xf numFmtId="0" fontId="55" fillId="0" borderId="0"/>
  </cellStyleXfs>
  <cellXfs count="517">
    <xf numFmtId="0" fontId="0" fillId="0" borderId="0" xfId="0"/>
    <xf numFmtId="0" fontId="0" fillId="3" borderId="0" xfId="0" applyFill="1"/>
    <xf numFmtId="0" fontId="67" fillId="3" borderId="0" xfId="0" applyFont="1" applyFill="1"/>
    <xf numFmtId="0" fontId="68" fillId="3" borderId="0" xfId="0" applyFont="1" applyFill="1"/>
    <xf numFmtId="0" fontId="68" fillId="0" borderId="0" xfId="0" applyFont="1"/>
    <xf numFmtId="0" fontId="65" fillId="3" borderId="0" xfId="0" applyFont="1" applyFill="1"/>
    <xf numFmtId="0" fontId="63" fillId="3" borderId="0" xfId="0" applyFont="1" applyFill="1"/>
    <xf numFmtId="0" fontId="66" fillId="3" borderId="0" xfId="0" applyFont="1" applyFill="1"/>
    <xf numFmtId="165" fontId="62" fillId="0" borderId="1" xfId="0" applyNumberFormat="1" applyFont="1" applyBorder="1" applyAlignment="1">
      <alignment horizontal="right"/>
    </xf>
    <xf numFmtId="0" fontId="0" fillId="5" borderId="0" xfId="0" applyFill="1"/>
    <xf numFmtId="0" fontId="64" fillId="5" borderId="0" xfId="0" applyFont="1" applyFill="1" applyAlignment="1">
      <alignment horizontal="center"/>
    </xf>
    <xf numFmtId="164" fontId="64" fillId="5" borderId="0" xfId="0" applyNumberFormat="1" applyFont="1" applyFill="1" applyAlignment="1">
      <alignment horizontal="center"/>
    </xf>
    <xf numFmtId="0" fontId="69" fillId="3" borderId="1" xfId="0" applyFont="1" applyFill="1" applyBorder="1" applyAlignment="1">
      <alignment horizontal="center" vertical="top"/>
    </xf>
    <xf numFmtId="0" fontId="69" fillId="0" borderId="1" xfId="0" applyFont="1" applyBorder="1" applyAlignment="1">
      <alignment horizontal="center" vertical="top"/>
    </xf>
    <xf numFmtId="0" fontId="69" fillId="3" borderId="1" xfId="0" applyFont="1" applyFill="1" applyBorder="1" applyAlignment="1">
      <alignment horizontal="center" vertical="top" wrapText="1"/>
    </xf>
    <xf numFmtId="164" fontId="69" fillId="3" borderId="1" xfId="0" applyNumberFormat="1" applyFont="1" applyFill="1" applyBorder="1" applyAlignment="1">
      <alignment horizontal="center" vertical="top"/>
    </xf>
    <xf numFmtId="14" fontId="69" fillId="3" borderId="1" xfId="0" applyNumberFormat="1" applyFont="1" applyFill="1" applyBorder="1" applyAlignment="1">
      <alignment horizontal="center" vertical="top"/>
    </xf>
    <xf numFmtId="14" fontId="69" fillId="3" borderId="2" xfId="0" applyNumberFormat="1" applyFont="1" applyFill="1" applyBorder="1" applyAlignment="1">
      <alignment horizontal="center" vertical="top"/>
    </xf>
    <xf numFmtId="0" fontId="68" fillId="0" borderId="1" xfId="0" applyFont="1" applyBorder="1" applyAlignment="1">
      <alignment horizontal="center" vertical="top"/>
    </xf>
    <xf numFmtId="0" fontId="69" fillId="3" borderId="1" xfId="0" applyFont="1" applyFill="1" applyBorder="1" applyAlignment="1">
      <alignment horizontal="center" vertical="center"/>
    </xf>
    <xf numFmtId="0" fontId="69" fillId="3" borderId="1" xfId="0" applyFont="1" applyFill="1" applyBorder="1" applyAlignment="1">
      <alignment horizontal="center" vertical="center" wrapText="1"/>
    </xf>
    <xf numFmtId="0" fontId="69" fillId="0" borderId="1" xfId="0" applyFont="1" applyBorder="1" applyAlignment="1">
      <alignment horizontal="center" vertical="center"/>
    </xf>
    <xf numFmtId="164" fontId="69" fillId="3" borderId="1" xfId="0" applyNumberFormat="1" applyFont="1" applyFill="1" applyBorder="1" applyAlignment="1">
      <alignment horizontal="center" vertical="center"/>
    </xf>
    <xf numFmtId="14" fontId="69" fillId="3" borderId="1" xfId="0" applyNumberFormat="1" applyFont="1" applyFill="1" applyBorder="1" applyAlignment="1">
      <alignment horizontal="center" vertical="center"/>
    </xf>
    <xf numFmtId="167" fontId="69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69" fillId="3" borderId="1" xfId="0" applyNumberFormat="1" applyFont="1" applyFill="1" applyBorder="1" applyAlignment="1">
      <alignment horizontal="center" vertical="center"/>
    </xf>
    <xf numFmtId="0" fontId="69" fillId="6" borderId="1" xfId="0" applyFont="1" applyFill="1" applyBorder="1" applyAlignment="1">
      <alignment horizontal="center" vertical="center"/>
    </xf>
    <xf numFmtId="0" fontId="69" fillId="6" borderId="1" xfId="0" applyFont="1" applyFill="1" applyBorder="1" applyAlignment="1">
      <alignment horizontal="center" vertical="top"/>
    </xf>
    <xf numFmtId="49" fontId="69" fillId="6" borderId="1" xfId="0" applyNumberFormat="1" applyFont="1" applyFill="1" applyBorder="1" applyAlignment="1">
      <alignment horizontal="center" vertical="center"/>
    </xf>
    <xf numFmtId="0" fontId="69" fillId="7" borderId="1" xfId="0" applyFont="1" applyFill="1" applyBorder="1" applyAlignment="1">
      <alignment horizontal="center" vertical="center"/>
    </xf>
    <xf numFmtId="164" fontId="69" fillId="6" borderId="1" xfId="0" applyNumberFormat="1" applyFont="1" applyFill="1" applyBorder="1" applyAlignment="1">
      <alignment horizontal="center" vertical="center"/>
    </xf>
    <xf numFmtId="167" fontId="69" fillId="6" borderId="1" xfId="0" applyNumberFormat="1" applyFont="1" applyFill="1" applyBorder="1" applyAlignment="1">
      <alignment horizontal="center" vertical="center"/>
    </xf>
    <xf numFmtId="0" fontId="68" fillId="7" borderId="1" xfId="0" applyFont="1" applyFill="1" applyBorder="1" applyAlignment="1">
      <alignment horizontal="center" vertical="top"/>
    </xf>
    <xf numFmtId="0" fontId="69" fillId="6" borderId="1" xfId="0" applyFont="1" applyFill="1" applyBorder="1" applyAlignment="1">
      <alignment horizontal="center" vertical="center" wrapText="1"/>
    </xf>
    <xf numFmtId="14" fontId="69" fillId="6" borderId="1" xfId="0" applyNumberFormat="1" applyFont="1" applyFill="1" applyBorder="1" applyAlignment="1">
      <alignment horizontal="center" vertical="center"/>
    </xf>
    <xf numFmtId="0" fontId="68" fillId="7" borderId="1" xfId="0" applyFont="1" applyFill="1" applyBorder="1" applyAlignment="1">
      <alignment horizontal="center" vertical="center"/>
    </xf>
    <xf numFmtId="0" fontId="69" fillId="6" borderId="1" xfId="0" applyFont="1" applyFill="1" applyBorder="1" applyAlignment="1">
      <alignment horizontal="center" vertical="top" wrapText="1"/>
    </xf>
    <xf numFmtId="14" fontId="69" fillId="6" borderId="4" xfId="0" applyNumberFormat="1" applyFont="1" applyFill="1" applyBorder="1" applyAlignment="1">
      <alignment horizontal="center" vertical="center"/>
    </xf>
    <xf numFmtId="164" fontId="69" fillId="6" borderId="5" xfId="0" applyNumberFormat="1" applyFont="1" applyFill="1" applyBorder="1" applyAlignment="1">
      <alignment horizontal="center" vertical="center"/>
    </xf>
    <xf numFmtId="0" fontId="69" fillId="6" borderId="5" xfId="0" applyFont="1" applyFill="1" applyBorder="1" applyAlignment="1">
      <alignment horizontal="center" vertical="center"/>
    </xf>
    <xf numFmtId="167" fontId="69" fillId="6" borderId="5" xfId="0" applyNumberFormat="1" applyFont="1" applyFill="1" applyBorder="1" applyAlignment="1">
      <alignment horizontal="center" vertical="center"/>
    </xf>
    <xf numFmtId="0" fontId="68" fillId="7" borderId="5" xfId="0" applyFont="1" applyFill="1" applyBorder="1" applyAlignment="1">
      <alignment horizontal="center" vertical="top"/>
    </xf>
    <xf numFmtId="164" fontId="69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4" fontId="69" fillId="6" borderId="3" xfId="0" applyNumberFormat="1" applyFont="1" applyFill="1" applyBorder="1" applyAlignment="1">
      <alignment horizontal="center" vertical="center"/>
    </xf>
    <xf numFmtId="167" fontId="69" fillId="6" borderId="3" xfId="0" applyNumberFormat="1" applyFont="1" applyFill="1" applyBorder="1" applyAlignment="1">
      <alignment horizontal="center" vertical="center"/>
    </xf>
    <xf numFmtId="0" fontId="69" fillId="6" borderId="3" xfId="0" applyFont="1" applyFill="1" applyBorder="1" applyAlignment="1">
      <alignment horizontal="center" vertical="center"/>
    </xf>
    <xf numFmtId="164" fontId="69" fillId="6" borderId="2" xfId="0" applyNumberFormat="1" applyFont="1" applyFill="1" applyBorder="1" applyAlignment="1">
      <alignment horizontal="center" vertical="center"/>
    </xf>
    <xf numFmtId="0" fontId="69" fillId="6" borderId="4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69" fillId="6" borderId="5" xfId="0" applyNumberFormat="1" applyFont="1" applyFill="1" applyBorder="1" applyAlignment="1">
      <alignment horizontal="center" vertical="center"/>
    </xf>
    <xf numFmtId="14" fontId="69" fillId="6" borderId="5" xfId="0" applyNumberFormat="1" applyFont="1" applyFill="1" applyBorder="1" applyAlignment="1">
      <alignment horizontal="center" vertical="center"/>
    </xf>
    <xf numFmtId="0" fontId="69" fillId="6" borderId="3" xfId="0" applyFont="1" applyFill="1" applyBorder="1" applyAlignment="1">
      <alignment horizontal="center" vertical="center" wrapText="1"/>
    </xf>
    <xf numFmtId="14" fontId="69" fillId="6" borderId="3" xfId="0" applyNumberFormat="1" applyFont="1" applyFill="1" applyBorder="1" applyAlignment="1">
      <alignment horizontal="center" vertical="center"/>
    </xf>
    <xf numFmtId="0" fontId="69" fillId="7" borderId="3" xfId="0" applyFont="1" applyFill="1" applyBorder="1" applyAlignment="1">
      <alignment horizontal="center" vertical="center"/>
    </xf>
    <xf numFmtId="49" fontId="69" fillId="6" borderId="3" xfId="0" applyNumberFormat="1" applyFont="1" applyFill="1" applyBorder="1" applyAlignment="1">
      <alignment horizontal="center" vertical="center"/>
    </xf>
    <xf numFmtId="164" fontId="69" fillId="6" borderId="15" xfId="0" applyNumberFormat="1" applyFont="1" applyFill="1" applyBorder="1" applyAlignment="1">
      <alignment horizontal="center" vertical="center"/>
    </xf>
    <xf numFmtId="164" fontId="69" fillId="6" borderId="17" xfId="0" applyNumberFormat="1" applyFont="1" applyFill="1" applyBorder="1" applyAlignment="1">
      <alignment horizontal="center" vertical="center"/>
    </xf>
    <xf numFmtId="168" fontId="69" fillId="6" borderId="3" xfId="0" applyNumberFormat="1" applyFont="1" applyFill="1" applyBorder="1" applyAlignment="1">
      <alignment horizontal="center" vertical="center"/>
    </xf>
    <xf numFmtId="167" fontId="69" fillId="6" borderId="15" xfId="0" applyNumberFormat="1" applyFont="1" applyFill="1" applyBorder="1" applyAlignment="1">
      <alignment horizontal="center" vertical="center"/>
    </xf>
    <xf numFmtId="0" fontId="69" fillId="3" borderId="2" xfId="0" applyFont="1" applyFill="1" applyBorder="1" applyAlignment="1">
      <alignment horizontal="center" vertical="center" wrapText="1"/>
    </xf>
    <xf numFmtId="14" fontId="69" fillId="6" borderId="1" xfId="0" applyNumberFormat="1" applyFont="1" applyFill="1" applyBorder="1" applyAlignment="1">
      <alignment horizontal="center" vertical="center" wrapText="1"/>
    </xf>
    <xf numFmtId="44" fontId="69" fillId="6" borderId="1" xfId="7" applyFont="1" applyFill="1" applyBorder="1" applyAlignment="1">
      <alignment horizontal="center" vertical="center" wrapText="1"/>
    </xf>
    <xf numFmtId="0" fontId="69" fillId="3" borderId="5" xfId="0" applyFont="1" applyFill="1" applyBorder="1" applyAlignment="1">
      <alignment horizontal="center" vertical="center" wrapText="1"/>
    </xf>
    <xf numFmtId="0" fontId="69" fillId="6" borderId="5" xfId="0" applyFont="1" applyFill="1" applyBorder="1" applyAlignment="1">
      <alignment horizontal="center" vertical="center" wrapText="1"/>
    </xf>
    <xf numFmtId="0" fontId="69" fillId="3" borderId="3" xfId="0" applyFont="1" applyFill="1" applyBorder="1" applyAlignment="1">
      <alignment horizontal="center" vertical="center" wrapText="1"/>
    </xf>
    <xf numFmtId="14" fontId="69" fillId="6" borderId="5" xfId="0" applyNumberFormat="1" applyFont="1" applyFill="1" applyBorder="1" applyAlignment="1">
      <alignment horizontal="center" vertical="center" wrapText="1"/>
    </xf>
    <xf numFmtId="44" fontId="69" fillId="6" borderId="5" xfId="7" applyFont="1" applyFill="1" applyBorder="1" applyAlignment="1">
      <alignment horizontal="center" vertical="center" wrapText="1"/>
    </xf>
    <xf numFmtId="14" fontId="69" fillId="6" borderId="3" xfId="0" applyNumberFormat="1" applyFont="1" applyFill="1" applyBorder="1" applyAlignment="1">
      <alignment horizontal="center" vertical="center" wrapText="1"/>
    </xf>
    <xf numFmtId="44" fontId="69" fillId="6" borderId="3" xfId="7" applyFont="1" applyFill="1" applyBorder="1" applyAlignment="1">
      <alignment horizontal="center" vertical="center" wrapText="1"/>
    </xf>
    <xf numFmtId="0" fontId="69" fillId="6" borderId="19" xfId="0" applyFont="1" applyFill="1" applyBorder="1" applyAlignment="1">
      <alignment horizontal="center" vertical="center" wrapText="1"/>
    </xf>
    <xf numFmtId="165" fontId="62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/>
    <xf numFmtId="0" fontId="0" fillId="8" borderId="0" xfId="0" applyFill="1"/>
    <xf numFmtId="0" fontId="57" fillId="0" borderId="3" xfId="0" applyFont="1" applyBorder="1" applyAlignment="1">
      <alignment horizontal="center" vertical="center"/>
    </xf>
    <xf numFmtId="0" fontId="56" fillId="0" borderId="3" xfId="0" applyFont="1" applyBorder="1" applyAlignment="1">
      <alignment horizontal="center" vertical="center"/>
    </xf>
    <xf numFmtId="0" fontId="55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55" fillId="0" borderId="3" xfId="0" applyFont="1" applyBorder="1" applyAlignment="1">
      <alignment horizontal="center" vertical="center" wrapText="1"/>
    </xf>
    <xf numFmtId="0" fontId="55" fillId="0" borderId="3" xfId="0" applyFont="1" applyBorder="1" applyAlignment="1">
      <alignment horizontal="center" vertical="center"/>
    </xf>
    <xf numFmtId="0" fontId="54" fillId="0" borderId="3" xfId="0" applyFont="1" applyBorder="1" applyAlignment="1">
      <alignment horizontal="center" vertical="center"/>
    </xf>
    <xf numFmtId="0" fontId="55" fillId="0" borderId="0" xfId="8" applyAlignment="1">
      <alignment horizontal="center" vertical="center"/>
    </xf>
    <xf numFmtId="0" fontId="69" fillId="6" borderId="13" xfId="0" applyFont="1" applyFill="1" applyBorder="1" applyAlignment="1">
      <alignment horizontal="center" vertical="center" wrapText="1"/>
    </xf>
    <xf numFmtId="169" fontId="57" fillId="0" borderId="3" xfId="0" applyNumberFormat="1" applyFont="1" applyBorder="1" applyAlignment="1">
      <alignment horizontal="center" vertical="center"/>
    </xf>
    <xf numFmtId="0" fontId="57" fillId="0" borderId="13" xfId="0" applyFont="1" applyBorder="1" applyAlignment="1">
      <alignment horizontal="center" vertical="center"/>
    </xf>
    <xf numFmtId="49" fontId="69" fillId="6" borderId="13" xfId="0" applyNumberFormat="1" applyFont="1" applyFill="1" applyBorder="1" applyAlignment="1">
      <alignment horizontal="center" vertical="center"/>
    </xf>
    <xf numFmtId="0" fontId="69" fillId="3" borderId="13" xfId="0" applyFont="1" applyFill="1" applyBorder="1" applyAlignment="1">
      <alignment horizontal="center" vertical="center" wrapText="1"/>
    </xf>
    <xf numFmtId="14" fontId="69" fillId="6" borderId="13" xfId="0" applyNumberFormat="1" applyFont="1" applyFill="1" applyBorder="1" applyAlignment="1">
      <alignment horizontal="center" vertical="center" wrapText="1"/>
    </xf>
    <xf numFmtId="169" fontId="57" fillId="0" borderId="13" xfId="0" applyNumberFormat="1" applyFont="1" applyBorder="1" applyAlignment="1">
      <alignment horizontal="center" vertical="center"/>
    </xf>
    <xf numFmtId="0" fontId="53" fillId="0" borderId="3" xfId="0" applyFont="1" applyBorder="1" applyAlignment="1">
      <alignment horizontal="center" vertical="center"/>
    </xf>
    <xf numFmtId="0" fontId="53" fillId="0" borderId="13" xfId="0" applyFont="1" applyBorder="1" applyAlignment="1">
      <alignment horizontal="center" vertical="center"/>
    </xf>
    <xf numFmtId="44" fontId="0" fillId="0" borderId="0" xfId="0" applyNumberFormat="1"/>
    <xf numFmtId="0" fontId="0" fillId="0" borderId="3" xfId="0" applyBorder="1" applyAlignment="1">
      <alignment horizontal="center" vertical="center"/>
    </xf>
    <xf numFmtId="0" fontId="52" fillId="0" borderId="3" xfId="0" applyFont="1" applyBorder="1" applyAlignment="1">
      <alignment horizontal="center" vertical="center"/>
    </xf>
    <xf numFmtId="0" fontId="51" fillId="0" borderId="3" xfId="0" applyFont="1" applyBorder="1" applyAlignment="1">
      <alignment horizontal="center" vertical="center"/>
    </xf>
    <xf numFmtId="0" fontId="50" fillId="0" borderId="3" xfId="0" applyFont="1" applyBorder="1" applyAlignment="1">
      <alignment horizontal="center" vertical="center"/>
    </xf>
    <xf numFmtId="0" fontId="49" fillId="0" borderId="3" xfId="0" applyFont="1" applyBorder="1" applyAlignment="1">
      <alignment horizontal="center" vertical="center"/>
    </xf>
    <xf numFmtId="0" fontId="48" fillId="0" borderId="3" xfId="0" applyFont="1" applyBorder="1" applyAlignment="1">
      <alignment horizontal="center" vertical="center"/>
    </xf>
    <xf numFmtId="0" fontId="47" fillId="0" borderId="3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0" fontId="45" fillId="0" borderId="3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center"/>
    </xf>
    <xf numFmtId="0" fontId="44" fillId="0" borderId="3" xfId="0" applyFont="1" applyBorder="1" applyAlignment="1">
      <alignment horizontal="center" vertical="center"/>
    </xf>
    <xf numFmtId="0" fontId="43" fillId="0" borderId="3" xfId="0" applyFont="1" applyBorder="1" applyAlignment="1">
      <alignment horizontal="center" vertical="center"/>
    </xf>
    <xf numFmtId="0" fontId="69" fillId="6" borderId="13" xfId="0" applyFont="1" applyFill="1" applyBorder="1" applyAlignment="1">
      <alignment horizontal="center" vertical="center"/>
    </xf>
    <xf numFmtId="0" fontId="4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1" fillId="0" borderId="3" xfId="0" applyFont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4" fontId="0" fillId="0" borderId="0" xfId="0" applyNumberFormat="1"/>
    <xf numFmtId="0" fontId="41" fillId="0" borderId="3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/>
    </xf>
    <xf numFmtId="44" fontId="0" fillId="0" borderId="3" xfId="7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wrapText="1"/>
    </xf>
    <xf numFmtId="0" fontId="37" fillId="0" borderId="3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14" fontId="0" fillId="0" borderId="3" xfId="0" applyNumberFormat="1" applyBorder="1"/>
    <xf numFmtId="44" fontId="0" fillId="0" borderId="3" xfId="7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/>
    </xf>
    <xf numFmtId="0" fontId="25" fillId="0" borderId="3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/>
    </xf>
    <xf numFmtId="0" fontId="0" fillId="9" borderId="0" xfId="0" applyFill="1"/>
    <xf numFmtId="0" fontId="26" fillId="0" borderId="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44" fontId="69" fillId="6" borderId="13" xfId="7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69" fillId="6" borderId="1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70" fillId="0" borderId="0" xfId="0" applyFont="1"/>
    <xf numFmtId="0" fontId="7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0" fillId="0" borderId="3" xfId="0" applyFont="1" applyBorder="1"/>
    <xf numFmtId="0" fontId="70" fillId="0" borderId="3" xfId="0" applyFont="1" applyBorder="1" applyAlignment="1">
      <alignment horizontal="center" vertical="center"/>
    </xf>
    <xf numFmtId="44" fontId="0" fillId="0" borderId="3" xfId="7" applyFont="1" applyBorder="1" applyAlignment="1">
      <alignment vertical="center"/>
    </xf>
    <xf numFmtId="44" fontId="69" fillId="6" borderId="3" xfId="7" applyFont="1" applyFill="1" applyBorder="1" applyAlignment="1">
      <alignment vertical="center" wrapText="1"/>
    </xf>
    <xf numFmtId="0" fontId="15" fillId="0" borderId="14" xfId="0" applyFont="1" applyBorder="1" applyAlignment="1">
      <alignment horizontal="center" vertical="center"/>
    </xf>
    <xf numFmtId="0" fontId="70" fillId="0" borderId="13" xfId="0" applyFont="1" applyBorder="1" applyAlignment="1">
      <alignment horizontal="center" vertical="center"/>
    </xf>
    <xf numFmtId="0" fontId="70" fillId="0" borderId="14" xfId="0" applyFont="1" applyBorder="1" applyAlignment="1">
      <alignment horizontal="center" vertical="center"/>
    </xf>
    <xf numFmtId="0" fontId="70" fillId="0" borderId="3" xfId="0" applyFont="1" applyBorder="1" applyAlignment="1">
      <alignment horizontal="center" vertical="center" wrapText="1"/>
    </xf>
    <xf numFmtId="0" fontId="70" fillId="10" borderId="13" xfId="0" applyFont="1" applyFill="1" applyBorder="1" applyAlignment="1">
      <alignment horizontal="center" vertical="center"/>
    </xf>
    <xf numFmtId="0" fontId="70" fillId="10" borderId="3" xfId="0" applyFont="1" applyFill="1" applyBorder="1" applyAlignment="1">
      <alignment horizontal="center" vertical="center" wrapText="1"/>
    </xf>
    <xf numFmtId="0" fontId="57" fillId="10" borderId="3" xfId="0" applyFont="1" applyFill="1" applyBorder="1" applyAlignment="1">
      <alignment horizontal="center" vertical="center"/>
    </xf>
    <xf numFmtId="0" fontId="70" fillId="10" borderId="3" xfId="0" applyFont="1" applyFill="1" applyBorder="1" applyAlignment="1">
      <alignment horizontal="center" vertical="center"/>
    </xf>
    <xf numFmtId="44" fontId="0" fillId="10" borderId="3" xfId="7" applyFont="1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44" fontId="69" fillId="12" borderId="3" xfId="7" applyFont="1" applyFill="1" applyBorder="1" applyAlignment="1">
      <alignment vertical="center" wrapText="1"/>
    </xf>
    <xf numFmtId="0" fontId="32" fillId="10" borderId="3" xfId="0" applyFont="1" applyFill="1" applyBorder="1" applyAlignment="1">
      <alignment horizontal="center" vertical="center"/>
    </xf>
    <xf numFmtId="0" fontId="15" fillId="10" borderId="3" xfId="0" applyFont="1" applyFill="1" applyBorder="1" applyAlignment="1">
      <alignment horizontal="center" vertical="center"/>
    </xf>
    <xf numFmtId="0" fontId="69" fillId="12" borderId="3" xfId="0" applyFont="1" applyFill="1" applyBorder="1" applyAlignment="1">
      <alignment horizontal="center" vertical="center"/>
    </xf>
    <xf numFmtId="44" fontId="69" fillId="12" borderId="3" xfId="7" applyFont="1" applyFill="1" applyBorder="1" applyAlignment="1">
      <alignment horizontal="center" vertical="center" wrapText="1"/>
    </xf>
    <xf numFmtId="168" fontId="0" fillId="0" borderId="3" xfId="0" applyNumberFormat="1" applyBorder="1" applyAlignment="1">
      <alignment horizontal="center" vertical="center"/>
    </xf>
    <xf numFmtId="44" fontId="69" fillId="0" borderId="3" xfId="7" applyFont="1" applyFill="1" applyBorder="1" applyAlignment="1">
      <alignment horizontal="center" vertical="center" wrapText="1"/>
    </xf>
    <xf numFmtId="0" fontId="57" fillId="10" borderId="13" xfId="0" applyFont="1" applyFill="1" applyBorder="1" applyAlignment="1">
      <alignment horizontal="center" vertical="center"/>
    </xf>
    <xf numFmtId="44" fontId="69" fillId="12" borderId="13" xfId="7" applyFont="1" applyFill="1" applyBorder="1" applyAlignment="1">
      <alignment vertical="center" wrapText="1"/>
    </xf>
    <xf numFmtId="0" fontId="72" fillId="0" borderId="3" xfId="0" applyFont="1" applyBorder="1" applyAlignment="1">
      <alignment horizontal="center" vertical="center" wrapText="1"/>
    </xf>
    <xf numFmtId="0" fontId="72" fillId="10" borderId="3" xfId="0" applyFont="1" applyFill="1" applyBorder="1" applyAlignment="1">
      <alignment horizontal="center" vertical="center" wrapText="1"/>
    </xf>
    <xf numFmtId="44" fontId="0" fillId="0" borderId="3" xfId="0" applyNumberFormat="1" applyBorder="1" applyAlignment="1">
      <alignment horizontal="center" vertical="center"/>
    </xf>
    <xf numFmtId="0" fontId="72" fillId="0" borderId="3" xfId="0" applyFont="1" applyBorder="1" applyAlignment="1">
      <alignment horizontal="center" vertical="center"/>
    </xf>
    <xf numFmtId="14" fontId="70" fillId="0" borderId="3" xfId="0" applyNumberFormat="1" applyFont="1" applyBorder="1" applyAlignment="1">
      <alignment horizontal="center" vertical="center"/>
    </xf>
    <xf numFmtId="168" fontId="70" fillId="0" borderId="3" xfId="7" applyNumberFormat="1" applyFont="1" applyBorder="1" applyAlignment="1">
      <alignment horizontal="center" vertical="center"/>
    </xf>
    <xf numFmtId="44" fontId="70" fillId="0" borderId="3" xfId="7" applyFont="1" applyBorder="1" applyAlignment="1">
      <alignment horizontal="center" vertical="center"/>
    </xf>
    <xf numFmtId="14" fontId="70" fillId="10" borderId="3" xfId="0" applyNumberFormat="1" applyFont="1" applyFill="1" applyBorder="1" applyAlignment="1">
      <alignment horizontal="center" vertical="center"/>
    </xf>
    <xf numFmtId="168" fontId="70" fillId="10" borderId="3" xfId="7" applyNumberFormat="1" applyFont="1" applyFill="1" applyBorder="1" applyAlignment="1">
      <alignment horizontal="center" vertical="center"/>
    </xf>
    <xf numFmtId="44" fontId="70" fillId="0" borderId="3" xfId="7" applyFont="1" applyBorder="1" applyAlignment="1">
      <alignment vertical="center"/>
    </xf>
    <xf numFmtId="168" fontId="70" fillId="0" borderId="3" xfId="0" applyNumberFormat="1" applyFont="1" applyBorder="1" applyAlignment="1">
      <alignment horizontal="center" vertical="center"/>
    </xf>
    <xf numFmtId="44" fontId="70" fillId="0" borderId="13" xfId="7" applyFont="1" applyBorder="1" applyAlignment="1">
      <alignment horizontal="center" vertical="center"/>
    </xf>
    <xf numFmtId="168" fontId="70" fillId="10" borderId="3" xfId="0" applyNumberFormat="1" applyFont="1" applyFill="1" applyBorder="1" applyAlignment="1">
      <alignment horizontal="center" vertical="center"/>
    </xf>
    <xf numFmtId="168" fontId="70" fillId="10" borderId="13" xfId="7" applyNumberFormat="1" applyFont="1" applyFill="1" applyBorder="1" applyAlignment="1">
      <alignment horizontal="center" vertical="center"/>
    </xf>
    <xf numFmtId="168" fontId="70" fillId="0" borderId="3" xfId="7" applyNumberFormat="1" applyFont="1" applyFill="1" applyBorder="1" applyAlignment="1">
      <alignment horizontal="center" vertical="center"/>
    </xf>
    <xf numFmtId="44" fontId="70" fillId="0" borderId="3" xfId="7" applyFont="1" applyFill="1" applyBorder="1" applyAlignment="1">
      <alignment horizontal="center" vertical="center"/>
    </xf>
    <xf numFmtId="14" fontId="70" fillId="0" borderId="3" xfId="0" applyNumberFormat="1" applyFont="1" applyBorder="1"/>
    <xf numFmtId="168" fontId="70" fillId="0" borderId="0" xfId="0" applyNumberFormat="1" applyFont="1"/>
    <xf numFmtId="0" fontId="71" fillId="5" borderId="0" xfId="0" applyFont="1" applyFill="1" applyAlignment="1">
      <alignment horizontal="center" vertical="center"/>
    </xf>
    <xf numFmtId="164" fontId="71" fillId="5" borderId="0" xfId="0" applyNumberFormat="1" applyFont="1" applyFill="1" applyAlignment="1">
      <alignment horizontal="center" vertical="center"/>
    </xf>
    <xf numFmtId="0" fontId="64" fillId="5" borderId="0" xfId="0" applyFont="1" applyFill="1" applyAlignment="1">
      <alignment horizontal="center" vertical="center"/>
    </xf>
    <xf numFmtId="164" fontId="64" fillId="5" borderId="0" xfId="0" applyNumberFormat="1" applyFont="1" applyFill="1" applyAlignment="1">
      <alignment horizontal="center" vertical="center"/>
    </xf>
    <xf numFmtId="0" fontId="70" fillId="0" borderId="3" xfId="0" applyFont="1" applyBorder="1" applyAlignment="1">
      <alignment horizontal="left" vertical="center"/>
    </xf>
    <xf numFmtId="0" fontId="57" fillId="0" borderId="1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70" fillId="6" borderId="3" xfId="0" applyFont="1" applyFill="1" applyBorder="1" applyAlignment="1">
      <alignment horizontal="center" vertical="center" wrapText="1"/>
    </xf>
    <xf numFmtId="0" fontId="70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70" fillId="0" borderId="14" xfId="0" applyFont="1" applyBorder="1" applyAlignment="1">
      <alignment horizontal="center" vertical="center" wrapText="1"/>
    </xf>
    <xf numFmtId="0" fontId="70" fillId="0" borderId="0" xfId="0" applyFont="1" applyAlignment="1">
      <alignment horizontal="center" vertical="center" wrapText="1"/>
    </xf>
    <xf numFmtId="0" fontId="73" fillId="6" borderId="3" xfId="0" applyFont="1" applyFill="1" applyBorder="1" applyAlignment="1">
      <alignment horizontal="center" vertical="center"/>
    </xf>
    <xf numFmtId="0" fontId="14" fillId="10" borderId="3" xfId="0" applyFont="1" applyFill="1" applyBorder="1" applyAlignment="1">
      <alignment horizontal="center" vertical="center" wrapText="1"/>
    </xf>
    <xf numFmtId="0" fontId="72" fillId="10" borderId="3" xfId="0" applyFont="1" applyFill="1" applyBorder="1" applyAlignment="1">
      <alignment horizontal="center" vertical="center"/>
    </xf>
    <xf numFmtId="44" fontId="0" fillId="10" borderId="3" xfId="7" applyFont="1" applyFill="1" applyBorder="1" applyAlignment="1">
      <alignment vertical="center"/>
    </xf>
    <xf numFmtId="14" fontId="70" fillId="10" borderId="3" xfId="0" applyNumberFormat="1" applyFont="1" applyFill="1" applyBorder="1"/>
    <xf numFmtId="0" fontId="70" fillId="10" borderId="3" xfId="0" applyFont="1" applyFill="1" applyBorder="1"/>
    <xf numFmtId="0" fontId="70" fillId="10" borderId="3" xfId="0" applyFont="1" applyFill="1" applyBorder="1" applyAlignment="1">
      <alignment wrapText="1"/>
    </xf>
    <xf numFmtId="0" fontId="15" fillId="10" borderId="3" xfId="0" applyFont="1" applyFill="1" applyBorder="1" applyAlignment="1">
      <alignment horizontal="center" vertical="center" wrapText="1"/>
    </xf>
    <xf numFmtId="0" fontId="70" fillId="10" borderId="3" xfId="0" applyFont="1" applyFill="1" applyBorder="1" applyAlignment="1">
      <alignment vertical="center"/>
    </xf>
    <xf numFmtId="0" fontId="70" fillId="10" borderId="13" xfId="0" applyFont="1" applyFill="1" applyBorder="1" applyAlignment="1">
      <alignment horizontal="center" vertical="center" wrapText="1"/>
    </xf>
    <xf numFmtId="44" fontId="69" fillId="0" borderId="3" xfId="7" applyFont="1" applyFill="1" applyBorder="1" applyAlignment="1">
      <alignment vertical="center" wrapText="1"/>
    </xf>
    <xf numFmtId="168" fontId="69" fillId="0" borderId="3" xfId="7" applyNumberFormat="1" applyFont="1" applyFill="1" applyBorder="1" applyAlignment="1">
      <alignment vertical="center" wrapText="1"/>
    </xf>
    <xf numFmtId="0" fontId="73" fillId="0" borderId="3" xfId="0" applyFont="1" applyBorder="1" applyAlignment="1">
      <alignment horizontal="center" vertical="center"/>
    </xf>
    <xf numFmtId="44" fontId="70" fillId="0" borderId="3" xfId="7" applyFont="1" applyFill="1" applyBorder="1" applyAlignment="1">
      <alignment vertical="center"/>
    </xf>
    <xf numFmtId="44" fontId="0" fillId="0" borderId="3" xfId="7" applyFont="1" applyFill="1" applyBorder="1" applyAlignment="1">
      <alignment vertical="center"/>
    </xf>
    <xf numFmtId="14" fontId="72" fillId="10" borderId="3" xfId="0" applyNumberFormat="1" applyFont="1" applyFill="1" applyBorder="1" applyAlignment="1">
      <alignment horizontal="center" vertical="center"/>
    </xf>
    <xf numFmtId="168" fontId="72" fillId="10" borderId="3" xfId="7" applyNumberFormat="1" applyFont="1" applyFill="1" applyBorder="1" applyAlignment="1">
      <alignment horizontal="center" vertical="center"/>
    </xf>
    <xf numFmtId="168" fontId="72" fillId="10" borderId="13" xfId="7" applyNumberFormat="1" applyFont="1" applyFill="1" applyBorder="1" applyAlignment="1">
      <alignment horizontal="center" vertical="center"/>
    </xf>
    <xf numFmtId="44" fontId="73" fillId="6" borderId="3" xfId="7" applyFont="1" applyFill="1" applyBorder="1" applyAlignment="1">
      <alignment vertical="center" wrapText="1"/>
    </xf>
    <xf numFmtId="0" fontId="72" fillId="0" borderId="14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14" fontId="70" fillId="0" borderId="14" xfId="0" applyNumberFormat="1" applyFont="1" applyBorder="1" applyAlignment="1">
      <alignment horizontal="center" vertical="center"/>
    </xf>
    <xf numFmtId="168" fontId="70" fillId="0" borderId="14" xfId="7" applyNumberFormat="1" applyFont="1" applyBorder="1" applyAlignment="1">
      <alignment horizontal="center" vertical="center"/>
    </xf>
    <xf numFmtId="168" fontId="70" fillId="0" borderId="14" xfId="0" applyNumberFormat="1" applyFont="1" applyBorder="1" applyAlignment="1">
      <alignment horizontal="center" vertical="center"/>
    </xf>
    <xf numFmtId="44" fontId="72" fillId="0" borderId="14" xfId="7" applyFont="1" applyBorder="1" applyAlignment="1">
      <alignment vertical="center"/>
    </xf>
    <xf numFmtId="0" fontId="69" fillId="0" borderId="3" xfId="0" applyFont="1" applyBorder="1" applyAlignment="1">
      <alignment horizontal="center" vertical="center"/>
    </xf>
    <xf numFmtId="44" fontId="0" fillId="0" borderId="14" xfId="7" applyFont="1" applyFill="1" applyBorder="1" applyAlignment="1">
      <alignment vertical="center"/>
    </xf>
    <xf numFmtId="44" fontId="69" fillId="0" borderId="14" xfId="7" applyFont="1" applyFill="1" applyBorder="1" applyAlignment="1">
      <alignment vertical="center" wrapText="1"/>
    </xf>
    <xf numFmtId="0" fontId="70" fillId="0" borderId="25" xfId="0" applyFont="1" applyBorder="1" applyAlignment="1">
      <alignment horizontal="center" vertical="center"/>
    </xf>
    <xf numFmtId="44" fontId="70" fillId="0" borderId="3" xfId="0" applyNumberFormat="1" applyFont="1" applyBorder="1" applyAlignment="1">
      <alignment horizontal="center" vertical="center"/>
    </xf>
    <xf numFmtId="168" fontId="69" fillId="6" borderId="3" xfId="7" applyNumberFormat="1" applyFont="1" applyFill="1" applyBorder="1" applyAlignment="1">
      <alignment vertical="center" wrapText="1"/>
    </xf>
    <xf numFmtId="44" fontId="0" fillId="9" borderId="3" xfId="7" applyFont="1" applyFill="1" applyBorder="1" applyAlignment="1">
      <alignment horizontal="center" vertical="center"/>
    </xf>
    <xf numFmtId="0" fontId="70" fillId="10" borderId="3" xfId="0" applyFont="1" applyFill="1" applyBorder="1" applyAlignment="1">
      <alignment horizontal="left" vertical="center"/>
    </xf>
    <xf numFmtId="168" fontId="70" fillId="0" borderId="13" xfId="7" applyNumberFormat="1" applyFont="1" applyBorder="1" applyAlignment="1">
      <alignment horizontal="center" vertical="center"/>
    </xf>
    <xf numFmtId="168" fontId="72" fillId="0" borderId="14" xfId="7" applyNumberFormat="1" applyFont="1" applyBorder="1" applyAlignment="1">
      <alignment horizontal="center" vertical="center"/>
    </xf>
    <xf numFmtId="168" fontId="72" fillId="11" borderId="0" xfId="7" applyNumberFormat="1" applyFont="1" applyFill="1" applyAlignment="1">
      <alignment horizontal="center" vertical="center"/>
    </xf>
    <xf numFmtId="168" fontId="72" fillId="10" borderId="3" xfId="0" applyNumberFormat="1" applyFont="1" applyFill="1" applyBorder="1" applyAlignment="1">
      <alignment horizontal="center" vertical="center"/>
    </xf>
    <xf numFmtId="0" fontId="72" fillId="10" borderId="13" xfId="0" applyFont="1" applyFill="1" applyBorder="1" applyAlignment="1">
      <alignment horizontal="center" vertical="center"/>
    </xf>
    <xf numFmtId="14" fontId="72" fillId="10" borderId="13" xfId="0" applyNumberFormat="1" applyFont="1" applyFill="1" applyBorder="1" applyAlignment="1">
      <alignment horizontal="center" vertical="center"/>
    </xf>
    <xf numFmtId="168" fontId="72" fillId="10" borderId="13" xfId="0" applyNumberFormat="1" applyFont="1" applyFill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70" fillId="0" borderId="3" xfId="0" applyFont="1" applyBorder="1" applyAlignment="1">
      <alignment vertical="center"/>
    </xf>
    <xf numFmtId="14" fontId="72" fillId="0" borderId="3" xfId="0" applyNumberFormat="1" applyFont="1" applyBorder="1" applyAlignment="1">
      <alignment horizontal="center" vertical="center"/>
    </xf>
    <xf numFmtId="168" fontId="72" fillId="0" borderId="3" xfId="7" applyNumberFormat="1" applyFont="1" applyFill="1" applyBorder="1" applyAlignment="1">
      <alignment horizontal="center" vertical="center"/>
    </xf>
    <xf numFmtId="44" fontId="0" fillId="0" borderId="3" xfId="7" applyFont="1" applyFill="1" applyBorder="1" applyAlignment="1">
      <alignment horizontal="center" vertical="center"/>
    </xf>
    <xf numFmtId="0" fontId="69" fillId="0" borderId="14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75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70" fillId="6" borderId="1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168" fontId="70" fillId="0" borderId="3" xfId="0" applyNumberFormat="1" applyFont="1" applyBorder="1" applyAlignment="1">
      <alignment vertical="center"/>
    </xf>
    <xf numFmtId="168" fontId="72" fillId="0" borderId="3" xfId="7" applyNumberFormat="1" applyFont="1" applyBorder="1" applyAlignment="1">
      <alignment horizontal="center" vertical="center"/>
    </xf>
    <xf numFmtId="168" fontId="72" fillId="0" borderId="3" xfId="0" applyNumberFormat="1" applyFont="1" applyBorder="1" applyAlignment="1">
      <alignment horizontal="center" vertical="center"/>
    </xf>
    <xf numFmtId="44" fontId="72" fillId="0" borderId="3" xfId="7" applyFont="1" applyBorder="1" applyAlignment="1">
      <alignment horizontal="center" vertical="center"/>
    </xf>
    <xf numFmtId="44" fontId="70" fillId="0" borderId="3" xfId="0" applyNumberFormat="1" applyFont="1" applyBorder="1" applyAlignment="1">
      <alignment vertical="center"/>
    </xf>
    <xf numFmtId="44" fontId="72" fillId="0" borderId="3" xfId="7" applyFont="1" applyFill="1" applyBorder="1" applyAlignment="1">
      <alignment horizontal="center" vertical="center"/>
    </xf>
    <xf numFmtId="44" fontId="72" fillId="0" borderId="3" xfId="7" applyFont="1" applyFill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14" fontId="70" fillId="0" borderId="3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44" fontId="73" fillId="6" borderId="3" xfId="7" applyFont="1" applyFill="1" applyBorder="1" applyAlignment="1">
      <alignment horizontal="center" vertical="center" wrapText="1"/>
    </xf>
    <xf numFmtId="44" fontId="73" fillId="0" borderId="3" xfId="7" applyFont="1" applyFill="1" applyBorder="1" applyAlignment="1">
      <alignment vertical="center" wrapText="1"/>
    </xf>
    <xf numFmtId="0" fontId="72" fillId="0" borderId="3" xfId="0" applyFont="1" applyBorder="1" applyAlignment="1">
      <alignment vertical="center"/>
    </xf>
    <xf numFmtId="0" fontId="76" fillId="0" borderId="3" xfId="0" applyFont="1" applyBorder="1" applyAlignment="1">
      <alignment horizontal="center" vertical="center"/>
    </xf>
    <xf numFmtId="44" fontId="72" fillId="0" borderId="3" xfId="7" applyFont="1" applyBorder="1" applyAlignment="1">
      <alignment vertical="center"/>
    </xf>
    <xf numFmtId="14" fontId="72" fillId="0" borderId="3" xfId="0" applyNumberFormat="1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68" fontId="75" fillId="0" borderId="3" xfId="7" applyNumberFormat="1" applyFont="1" applyBorder="1" applyAlignment="1">
      <alignment horizontal="center" vertical="center"/>
    </xf>
    <xf numFmtId="168" fontId="75" fillId="0" borderId="3" xfId="0" applyNumberFormat="1" applyFont="1" applyBorder="1" applyAlignment="1">
      <alignment horizontal="center" vertical="center"/>
    </xf>
    <xf numFmtId="168" fontId="75" fillId="0" borderId="3" xfId="7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77" fillId="0" borderId="3" xfId="0" applyFont="1" applyBorder="1" applyAlignment="1">
      <alignment horizontal="center"/>
    </xf>
    <xf numFmtId="6" fontId="72" fillId="0" borderId="3" xfId="7" applyNumberFormat="1" applyFont="1" applyBorder="1" applyAlignment="1">
      <alignment horizontal="center" vertical="center"/>
    </xf>
    <xf numFmtId="168" fontId="69" fillId="6" borderId="3" xfId="7" applyNumberFormat="1" applyFont="1" applyFill="1" applyBorder="1" applyAlignment="1">
      <alignment horizontal="center" vertical="center" wrapText="1"/>
    </xf>
    <xf numFmtId="168" fontId="73" fillId="6" borderId="3" xfId="7" applyNumberFormat="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72" fillId="0" borderId="26" xfId="0" applyFont="1" applyBorder="1" applyAlignment="1">
      <alignment horizontal="center" vertical="center"/>
    </xf>
    <xf numFmtId="0" fontId="70" fillId="0" borderId="26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4" fontId="70" fillId="0" borderId="0" xfId="0" applyNumberFormat="1" applyFont="1" applyAlignment="1">
      <alignment horizontal="center" vertical="center"/>
    </xf>
    <xf numFmtId="14" fontId="70" fillId="0" borderId="0" xfId="0" applyNumberFormat="1" applyFont="1" applyAlignment="1">
      <alignment vertical="center"/>
    </xf>
    <xf numFmtId="168" fontId="70" fillId="0" borderId="0" xfId="0" applyNumberFormat="1" applyFont="1" applyAlignment="1">
      <alignment horizontal="center" vertical="center"/>
    </xf>
    <xf numFmtId="0" fontId="75" fillId="0" borderId="0" xfId="0" applyFont="1" applyAlignment="1">
      <alignment horizontal="center" vertical="center"/>
    </xf>
    <xf numFmtId="44" fontId="72" fillId="0" borderId="0" xfId="7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44" fontId="0" fillId="0" borderId="0" xfId="7" applyFont="1" applyBorder="1" applyAlignment="1">
      <alignment vertical="center"/>
    </xf>
    <xf numFmtId="168" fontId="73" fillId="6" borderId="0" xfId="7" applyNumberFormat="1" applyFont="1" applyFill="1" applyBorder="1" applyAlignment="1">
      <alignment horizontal="center" vertical="center" wrapText="1"/>
    </xf>
    <xf numFmtId="44" fontId="70" fillId="0" borderId="0" xfId="0" applyNumberFormat="1" applyFont="1" applyAlignment="1">
      <alignment vertical="center"/>
    </xf>
    <xf numFmtId="168" fontId="69" fillId="6" borderId="0" xfId="7" applyNumberFormat="1" applyFont="1" applyFill="1" applyBorder="1" applyAlignment="1">
      <alignment horizontal="center" vertical="center" wrapText="1"/>
    </xf>
    <xf numFmtId="0" fontId="70" fillId="0" borderId="0" xfId="0" applyFont="1" applyAlignment="1">
      <alignment vertical="center"/>
    </xf>
    <xf numFmtId="0" fontId="70" fillId="0" borderId="22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72" fillId="0" borderId="3" xfId="0" applyFont="1" applyBorder="1" applyAlignment="1">
      <alignment horizontal="center"/>
    </xf>
    <xf numFmtId="168" fontId="0" fillId="0" borderId="0" xfId="0" applyNumberFormat="1"/>
    <xf numFmtId="0" fontId="62" fillId="0" borderId="1" xfId="0" applyFont="1" applyBorder="1"/>
    <xf numFmtId="0" fontId="64" fillId="4" borderId="1" xfId="0" applyFont="1" applyFill="1" applyBorder="1" applyAlignment="1">
      <alignment horizontal="center"/>
    </xf>
    <xf numFmtId="0" fontId="64" fillId="5" borderId="1" xfId="0" applyFont="1" applyFill="1" applyBorder="1" applyAlignment="1">
      <alignment horizontal="center"/>
    </xf>
    <xf numFmtId="164" fontId="64" fillId="5" borderId="1" xfId="0" applyNumberFormat="1" applyFont="1" applyFill="1" applyBorder="1" applyAlignment="1">
      <alignment horizontal="center"/>
    </xf>
    <xf numFmtId="164" fontId="69" fillId="6" borderId="3" xfId="0" applyNumberFormat="1" applyFont="1" applyFill="1" applyBorder="1" applyAlignment="1">
      <alignment horizontal="center" vertical="center"/>
    </xf>
    <xf numFmtId="164" fontId="69" fillId="6" borderId="9" xfId="0" applyNumberFormat="1" applyFont="1" applyFill="1" applyBorder="1" applyAlignment="1">
      <alignment horizontal="center" vertical="center"/>
    </xf>
    <xf numFmtId="164" fontId="69" fillId="6" borderId="10" xfId="0" applyNumberFormat="1" applyFont="1" applyFill="1" applyBorder="1" applyAlignment="1">
      <alignment horizontal="center" vertical="center"/>
    </xf>
    <xf numFmtId="0" fontId="68" fillId="7" borderId="3" xfId="0" applyFont="1" applyFill="1" applyBorder="1" applyAlignment="1">
      <alignment horizontal="center" vertical="top"/>
    </xf>
    <xf numFmtId="0" fontId="69" fillId="6" borderId="7" xfId="0" applyFont="1" applyFill="1" applyBorder="1" applyAlignment="1">
      <alignment horizontal="center" vertical="center"/>
    </xf>
    <xf numFmtId="0" fontId="69" fillId="6" borderId="8" xfId="0" applyFont="1" applyFill="1" applyBorder="1" applyAlignment="1">
      <alignment horizontal="center" vertical="center"/>
    </xf>
    <xf numFmtId="0" fontId="69" fillId="6" borderId="3" xfId="0" applyFont="1" applyFill="1" applyBorder="1" applyAlignment="1">
      <alignment horizontal="center" vertical="center"/>
    </xf>
    <xf numFmtId="167" fontId="69" fillId="6" borderId="3" xfId="0" applyNumberFormat="1" applyFont="1" applyFill="1" applyBorder="1" applyAlignment="1">
      <alignment horizontal="center" vertical="center"/>
    </xf>
    <xf numFmtId="49" fontId="69" fillId="6" borderId="5" xfId="0" applyNumberFormat="1" applyFont="1" applyFill="1" applyBorder="1" applyAlignment="1">
      <alignment horizontal="center" vertical="center"/>
    </xf>
    <xf numFmtId="49" fontId="69" fillId="6" borderId="6" xfId="0" applyNumberFormat="1" applyFont="1" applyFill="1" applyBorder="1" applyAlignment="1">
      <alignment horizontal="center" vertical="center"/>
    </xf>
    <xf numFmtId="0" fontId="69" fillId="3" borderId="5" xfId="0" applyFont="1" applyFill="1" applyBorder="1" applyAlignment="1">
      <alignment horizontal="center" vertical="center" wrapText="1"/>
    </xf>
    <xf numFmtId="0" fontId="69" fillId="3" borderId="6" xfId="0" applyFont="1" applyFill="1" applyBorder="1" applyAlignment="1">
      <alignment horizontal="center" vertical="center" wrapText="1"/>
    </xf>
    <xf numFmtId="0" fontId="69" fillId="6" borderId="5" xfId="0" applyFont="1" applyFill="1" applyBorder="1" applyAlignment="1">
      <alignment horizontal="center" vertical="center" wrapText="1"/>
    </xf>
    <xf numFmtId="0" fontId="69" fillId="6" borderId="6" xfId="0" applyFont="1" applyFill="1" applyBorder="1" applyAlignment="1">
      <alignment horizontal="center" vertical="center" wrapText="1"/>
    </xf>
    <xf numFmtId="0" fontId="69" fillId="6" borderId="5" xfId="0" applyFont="1" applyFill="1" applyBorder="1" applyAlignment="1">
      <alignment horizontal="center" vertical="center"/>
    </xf>
    <xf numFmtId="0" fontId="69" fillId="6" borderId="6" xfId="0" applyFont="1" applyFill="1" applyBorder="1" applyAlignment="1">
      <alignment horizontal="center" vertical="center"/>
    </xf>
    <xf numFmtId="0" fontId="68" fillId="7" borderId="5" xfId="0" applyFont="1" applyFill="1" applyBorder="1" applyAlignment="1">
      <alignment horizontal="center" vertical="top"/>
    </xf>
    <xf numFmtId="0" fontId="68" fillId="7" borderId="6" xfId="0" applyFont="1" applyFill="1" applyBorder="1" applyAlignment="1">
      <alignment horizontal="center" vertical="top"/>
    </xf>
    <xf numFmtId="164" fontId="69" fillId="6" borderId="5" xfId="0" applyNumberFormat="1" applyFont="1" applyFill="1" applyBorder="1" applyAlignment="1">
      <alignment horizontal="center" vertical="center"/>
    </xf>
    <xf numFmtId="164" fontId="69" fillId="6" borderId="6" xfId="0" applyNumberFormat="1" applyFont="1" applyFill="1" applyBorder="1" applyAlignment="1">
      <alignment horizontal="center" vertical="center"/>
    </xf>
    <xf numFmtId="167" fontId="69" fillId="6" borderId="5" xfId="0" applyNumberFormat="1" applyFont="1" applyFill="1" applyBorder="1" applyAlignment="1">
      <alignment horizontal="center" vertical="center"/>
    </xf>
    <xf numFmtId="167" fontId="69" fillId="6" borderId="6" xfId="0" applyNumberFormat="1" applyFont="1" applyFill="1" applyBorder="1" applyAlignment="1">
      <alignment horizontal="center" vertical="center"/>
    </xf>
    <xf numFmtId="14" fontId="69" fillId="6" borderId="5" xfId="0" applyNumberFormat="1" applyFont="1" applyFill="1" applyBorder="1" applyAlignment="1">
      <alignment horizontal="center" vertical="center"/>
    </xf>
    <xf numFmtId="14" fontId="69" fillId="6" borderId="6" xfId="0" applyNumberFormat="1" applyFont="1" applyFill="1" applyBorder="1" applyAlignment="1">
      <alignment horizontal="center" vertical="center"/>
    </xf>
    <xf numFmtId="14" fontId="69" fillId="6" borderId="3" xfId="0" applyNumberFormat="1" applyFont="1" applyFill="1" applyBorder="1" applyAlignment="1">
      <alignment horizontal="center" vertical="center"/>
    </xf>
    <xf numFmtId="0" fontId="69" fillId="6" borderId="13" xfId="0" applyFont="1" applyFill="1" applyBorder="1" applyAlignment="1">
      <alignment horizontal="center" vertical="center" wrapText="1"/>
    </xf>
    <xf numFmtId="0" fontId="69" fillId="6" borderId="14" xfId="0" applyFont="1" applyFill="1" applyBorder="1" applyAlignment="1">
      <alignment horizontal="center" vertical="center" wrapText="1"/>
    </xf>
    <xf numFmtId="168" fontId="69" fillId="6" borderId="3" xfId="0" applyNumberFormat="1" applyFont="1" applyFill="1" applyBorder="1" applyAlignment="1">
      <alignment horizontal="center" vertical="center"/>
    </xf>
    <xf numFmtId="167" fontId="69" fillId="6" borderId="15" xfId="0" applyNumberFormat="1" applyFont="1" applyFill="1" applyBorder="1" applyAlignment="1">
      <alignment horizontal="center" vertical="center"/>
    </xf>
    <xf numFmtId="167" fontId="69" fillId="6" borderId="16" xfId="0" applyNumberFormat="1" applyFont="1" applyFill="1" applyBorder="1" applyAlignment="1">
      <alignment horizontal="center" vertical="center"/>
    </xf>
    <xf numFmtId="164" fontId="69" fillId="6" borderId="12" xfId="0" applyNumberFormat="1" applyFont="1" applyFill="1" applyBorder="1" applyAlignment="1">
      <alignment horizontal="center" vertical="center"/>
    </xf>
    <xf numFmtId="164" fontId="69" fillId="6" borderId="17" xfId="0" applyNumberFormat="1" applyFont="1" applyFill="1" applyBorder="1" applyAlignment="1">
      <alignment horizontal="center" vertical="center"/>
    </xf>
    <xf numFmtId="164" fontId="69" fillId="6" borderId="18" xfId="0" applyNumberFormat="1" applyFont="1" applyFill="1" applyBorder="1" applyAlignment="1">
      <alignment horizontal="center" vertical="center"/>
    </xf>
    <xf numFmtId="164" fontId="69" fillId="6" borderId="15" xfId="0" applyNumberFormat="1" applyFont="1" applyFill="1" applyBorder="1" applyAlignment="1">
      <alignment horizontal="center" vertical="center"/>
    </xf>
    <xf numFmtId="164" fontId="69" fillId="6" borderId="16" xfId="0" applyNumberFormat="1" applyFont="1" applyFill="1" applyBorder="1" applyAlignment="1">
      <alignment horizontal="center" vertical="center"/>
    </xf>
    <xf numFmtId="49" fontId="69" fillId="6" borderId="3" xfId="0" applyNumberFormat="1" applyFont="1" applyFill="1" applyBorder="1" applyAlignment="1">
      <alignment horizontal="center" vertical="center"/>
    </xf>
    <xf numFmtId="0" fontId="69" fillId="3" borderId="3" xfId="0" applyFont="1" applyFill="1" applyBorder="1" applyAlignment="1">
      <alignment horizontal="center" vertical="center" wrapText="1"/>
    </xf>
    <xf numFmtId="0" fontId="69" fillId="6" borderId="3" xfId="0" applyFont="1" applyFill="1" applyBorder="1" applyAlignment="1">
      <alignment horizontal="center" vertical="center" wrapText="1"/>
    </xf>
    <xf numFmtId="0" fontId="69" fillId="7" borderId="3" xfId="0" applyFont="1" applyFill="1" applyBorder="1" applyAlignment="1">
      <alignment horizontal="center" vertical="center"/>
    </xf>
    <xf numFmtId="44" fontId="69" fillId="6" borderId="3" xfId="7" applyFont="1" applyFill="1" applyBorder="1" applyAlignment="1">
      <alignment horizontal="center" vertical="center" wrapText="1"/>
    </xf>
    <xf numFmtId="0" fontId="69" fillId="6" borderId="19" xfId="0" applyFont="1" applyFill="1" applyBorder="1" applyAlignment="1">
      <alignment horizontal="center" vertical="center" wrapText="1"/>
    </xf>
    <xf numFmtId="44" fontId="69" fillId="6" borderId="15" xfId="7" applyFont="1" applyFill="1" applyBorder="1" applyAlignment="1">
      <alignment horizontal="center" vertical="center" wrapText="1"/>
    </xf>
    <xf numFmtId="44" fontId="69" fillId="6" borderId="16" xfId="7" applyFont="1" applyFill="1" applyBorder="1" applyAlignment="1">
      <alignment horizontal="center" vertical="center" wrapText="1"/>
    </xf>
    <xf numFmtId="44" fontId="69" fillId="6" borderId="20" xfId="7" applyFont="1" applyFill="1" applyBorder="1" applyAlignment="1">
      <alignment horizontal="center" vertical="center" wrapText="1"/>
    </xf>
    <xf numFmtId="44" fontId="69" fillId="6" borderId="5" xfId="7" applyFont="1" applyFill="1" applyBorder="1" applyAlignment="1">
      <alignment horizontal="center" vertical="center" wrapText="1"/>
    </xf>
    <xf numFmtId="44" fontId="69" fillId="6" borderId="12" xfId="7" applyFont="1" applyFill="1" applyBorder="1" applyAlignment="1">
      <alignment horizontal="center" vertical="center" wrapText="1"/>
    </xf>
    <xf numFmtId="44" fontId="69" fillId="6" borderId="6" xfId="7" applyFont="1" applyFill="1" applyBorder="1" applyAlignment="1">
      <alignment horizontal="center" vertical="center" wrapText="1"/>
    </xf>
    <xf numFmtId="44" fontId="69" fillId="6" borderId="17" xfId="7" applyFont="1" applyFill="1" applyBorder="1" applyAlignment="1">
      <alignment horizontal="center" vertical="center" wrapText="1"/>
    </xf>
    <xf numFmtId="44" fontId="69" fillId="6" borderId="18" xfId="7" applyFont="1" applyFill="1" applyBorder="1" applyAlignment="1">
      <alignment horizontal="center" vertical="center" wrapText="1"/>
    </xf>
    <xf numFmtId="44" fontId="69" fillId="6" borderId="21" xfId="7" applyFont="1" applyFill="1" applyBorder="1" applyAlignment="1">
      <alignment horizontal="center" vertical="center" wrapText="1"/>
    </xf>
    <xf numFmtId="0" fontId="64" fillId="4" borderId="4" xfId="0" applyFont="1" applyFill="1" applyBorder="1" applyAlignment="1">
      <alignment horizontal="center"/>
    </xf>
    <xf numFmtId="0" fontId="64" fillId="4" borderId="7" xfId="0" applyFont="1" applyFill="1" applyBorder="1" applyAlignment="1">
      <alignment horizontal="center"/>
    </xf>
    <xf numFmtId="0" fontId="64" fillId="5" borderId="5" xfId="0" applyFont="1" applyFill="1" applyBorder="1" applyAlignment="1">
      <alignment horizontal="center"/>
    </xf>
    <xf numFmtId="164" fontId="64" fillId="5" borderId="5" xfId="0" applyNumberFormat="1" applyFont="1" applyFill="1" applyBorder="1" applyAlignment="1">
      <alignment horizontal="center"/>
    </xf>
    <xf numFmtId="0" fontId="64" fillId="4" borderId="5" xfId="0" applyFont="1" applyFill="1" applyBorder="1" applyAlignment="1">
      <alignment horizontal="center"/>
    </xf>
    <xf numFmtId="44" fontId="69" fillId="6" borderId="13" xfId="7" applyFont="1" applyFill="1" applyBorder="1" applyAlignment="1">
      <alignment horizontal="center" vertical="center" wrapText="1"/>
    </xf>
    <xf numFmtId="44" fontId="69" fillId="6" borderId="14" xfId="7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7" fillId="0" borderId="13" xfId="0" applyFont="1" applyBorder="1" applyAlignment="1">
      <alignment horizontal="center" vertical="center"/>
    </xf>
    <xf numFmtId="0" fontId="57" fillId="0" borderId="14" xfId="0" applyFont="1" applyBorder="1" applyAlignment="1">
      <alignment horizontal="center" vertical="center"/>
    </xf>
    <xf numFmtId="0" fontId="49" fillId="0" borderId="1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4" fontId="0" fillId="0" borderId="3" xfId="7" applyFont="1" applyBorder="1" applyAlignment="1">
      <alignment horizontal="center" vertical="center"/>
    </xf>
    <xf numFmtId="44" fontId="0" fillId="0" borderId="13" xfId="7" applyFont="1" applyBorder="1" applyAlignment="1">
      <alignment horizontal="center" vertical="center"/>
    </xf>
    <xf numFmtId="44" fontId="0" fillId="0" borderId="14" xfId="7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44" fontId="0" fillId="0" borderId="19" xfId="7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4" fontId="69" fillId="6" borderId="19" xfId="7" applyFont="1" applyFill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/>
    </xf>
    <xf numFmtId="0" fontId="41" fillId="0" borderId="13" xfId="0" applyFont="1" applyBorder="1" applyAlignment="1">
      <alignment horizontal="center" vertical="center"/>
    </xf>
    <xf numFmtId="0" fontId="41" fillId="0" borderId="19" xfId="0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69" fillId="6" borderId="13" xfId="0" applyFont="1" applyFill="1" applyBorder="1" applyAlignment="1">
      <alignment horizontal="center" vertical="center"/>
    </xf>
    <xf numFmtId="0" fontId="69" fillId="6" borderId="19" xfId="0" applyFont="1" applyFill="1" applyBorder="1" applyAlignment="1">
      <alignment horizontal="center" vertical="center"/>
    </xf>
    <xf numFmtId="0" fontId="69" fillId="6" borderId="14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32" fillId="0" borderId="3" xfId="0" applyFont="1" applyBorder="1" applyAlignment="1">
      <alignment horizontal="center" vertical="center"/>
    </xf>
    <xf numFmtId="0" fontId="33" fillId="0" borderId="19" xfId="0" applyFont="1" applyBorder="1" applyAlignment="1">
      <alignment horizontal="center" vertical="center"/>
    </xf>
    <xf numFmtId="14" fontId="32" fillId="0" borderId="13" xfId="0" applyNumberFormat="1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71" fillId="4" borderId="1" xfId="0" applyFont="1" applyFill="1" applyBorder="1" applyAlignment="1">
      <alignment horizontal="center"/>
    </xf>
    <xf numFmtId="0" fontId="71" fillId="4" borderId="4" xfId="0" applyFont="1" applyFill="1" applyBorder="1" applyAlignment="1">
      <alignment horizontal="center"/>
    </xf>
    <xf numFmtId="0" fontId="71" fillId="4" borderId="7" xfId="0" applyFont="1" applyFill="1" applyBorder="1" applyAlignment="1">
      <alignment horizontal="center"/>
    </xf>
    <xf numFmtId="0" fontId="64" fillId="5" borderId="1" xfId="0" applyFont="1" applyFill="1" applyBorder="1" applyAlignment="1">
      <alignment horizontal="center" vertical="center"/>
    </xf>
    <xf numFmtId="0" fontId="64" fillId="5" borderId="5" xfId="0" applyFont="1" applyFill="1" applyBorder="1" applyAlignment="1">
      <alignment horizontal="center" vertical="center"/>
    </xf>
    <xf numFmtId="0" fontId="71" fillId="5" borderId="1" xfId="0" applyFont="1" applyFill="1" applyBorder="1" applyAlignment="1">
      <alignment horizontal="center" vertical="center"/>
    </xf>
    <xf numFmtId="0" fontId="71" fillId="5" borderId="5" xfId="0" applyFont="1" applyFill="1" applyBorder="1" applyAlignment="1">
      <alignment horizontal="center" vertical="center"/>
    </xf>
    <xf numFmtId="0" fontId="71" fillId="5" borderId="1" xfId="0" applyFont="1" applyFill="1" applyBorder="1" applyAlignment="1">
      <alignment horizontal="center" vertical="center" wrapText="1"/>
    </xf>
    <xf numFmtId="0" fontId="71" fillId="5" borderId="5" xfId="0" applyFont="1" applyFill="1" applyBorder="1" applyAlignment="1">
      <alignment horizontal="center" vertical="center" wrapText="1"/>
    </xf>
    <xf numFmtId="0" fontId="70" fillId="10" borderId="13" xfId="0" applyFont="1" applyFill="1" applyBorder="1" applyAlignment="1">
      <alignment horizontal="center" vertical="center"/>
    </xf>
    <xf numFmtId="0" fontId="70" fillId="10" borderId="14" xfId="0" applyFont="1" applyFill="1" applyBorder="1" applyAlignment="1">
      <alignment horizontal="center" vertical="center"/>
    </xf>
    <xf numFmtId="164" fontId="64" fillId="5" borderId="1" xfId="0" applyNumberFormat="1" applyFont="1" applyFill="1" applyBorder="1" applyAlignment="1">
      <alignment horizontal="center" vertical="center"/>
    </xf>
    <xf numFmtId="0" fontId="57" fillId="10" borderId="13" xfId="0" applyFont="1" applyFill="1" applyBorder="1" applyAlignment="1">
      <alignment horizontal="center" vertical="center"/>
    </xf>
    <xf numFmtId="0" fontId="57" fillId="10" borderId="14" xfId="0" applyFont="1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/>
    </xf>
    <xf numFmtId="0" fontId="71" fillId="5" borderId="17" xfId="0" applyFont="1" applyFill="1" applyBorder="1" applyAlignment="1">
      <alignment horizontal="center" vertical="center"/>
    </xf>
    <xf numFmtId="0" fontId="71" fillId="5" borderId="24" xfId="0" applyFont="1" applyFill="1" applyBorder="1" applyAlignment="1">
      <alignment horizontal="center" vertical="center"/>
    </xf>
    <xf numFmtId="164" fontId="64" fillId="5" borderId="5" xfId="0" applyNumberFormat="1" applyFont="1" applyFill="1" applyBorder="1" applyAlignment="1">
      <alignment horizontal="center" vertical="center"/>
    </xf>
    <xf numFmtId="0" fontId="71" fillId="5" borderId="3" xfId="0" applyFont="1" applyFill="1" applyBorder="1" applyAlignment="1">
      <alignment horizontal="center" vertical="center"/>
    </xf>
    <xf numFmtId="0" fontId="71" fillId="5" borderId="13" xfId="0" applyFont="1" applyFill="1" applyBorder="1" applyAlignment="1">
      <alignment horizontal="center" vertical="center"/>
    </xf>
    <xf numFmtId="168" fontId="71" fillId="5" borderId="2" xfId="0" applyNumberFormat="1" applyFont="1" applyFill="1" applyBorder="1" applyAlignment="1">
      <alignment horizontal="center" vertical="center"/>
    </xf>
    <xf numFmtId="168" fontId="71" fillId="5" borderId="23" xfId="0" applyNumberFormat="1" applyFont="1" applyFill="1" applyBorder="1" applyAlignment="1">
      <alignment horizontal="center" vertical="center"/>
    </xf>
    <xf numFmtId="168" fontId="71" fillId="5" borderId="1" xfId="0" applyNumberFormat="1" applyFont="1" applyFill="1" applyBorder="1" applyAlignment="1">
      <alignment horizontal="center" vertical="center"/>
    </xf>
    <xf numFmtId="168" fontId="71" fillId="5" borderId="5" xfId="0" applyNumberFormat="1" applyFont="1" applyFill="1" applyBorder="1" applyAlignment="1">
      <alignment horizontal="center" vertical="center"/>
    </xf>
    <xf numFmtId="164" fontId="71" fillId="5" borderId="1" xfId="0" applyNumberFormat="1" applyFont="1" applyFill="1" applyBorder="1" applyAlignment="1">
      <alignment horizontal="center" vertical="center"/>
    </xf>
    <xf numFmtId="164" fontId="71" fillId="5" borderId="5" xfId="0" applyNumberFormat="1" applyFont="1" applyFill="1" applyBorder="1" applyAlignment="1">
      <alignment horizontal="center" vertical="center"/>
    </xf>
    <xf numFmtId="0" fontId="14" fillId="10" borderId="13" xfId="0" applyFont="1" applyFill="1" applyBorder="1" applyAlignment="1">
      <alignment horizontal="center" vertical="center"/>
    </xf>
    <xf numFmtId="0" fontId="15" fillId="10" borderId="14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69" fillId="12" borderId="13" xfId="0" applyFont="1" applyFill="1" applyBorder="1" applyAlignment="1">
      <alignment horizontal="center" vertical="center"/>
    </xf>
    <xf numFmtId="0" fontId="69" fillId="12" borderId="14" xfId="0" applyFont="1" applyFill="1" applyBorder="1" applyAlignment="1">
      <alignment horizontal="center" vertical="center"/>
    </xf>
    <xf numFmtId="0" fontId="14" fillId="10" borderId="3" xfId="0" applyFont="1" applyFill="1" applyBorder="1" applyAlignment="1">
      <alignment horizontal="center" vertical="center" wrapText="1"/>
    </xf>
    <xf numFmtId="0" fontId="32" fillId="10" borderId="13" xfId="0" applyFont="1" applyFill="1" applyBorder="1" applyAlignment="1">
      <alignment horizontal="center" vertical="center"/>
    </xf>
    <xf numFmtId="0" fontId="32" fillId="10" borderId="14" xfId="0" applyFont="1" applyFill="1" applyBorder="1" applyAlignment="1">
      <alignment horizontal="center" vertical="center"/>
    </xf>
    <xf numFmtId="0" fontId="14" fillId="10" borderId="13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70" fillId="0" borderId="13" xfId="0" applyFont="1" applyBorder="1" applyAlignment="1">
      <alignment horizontal="center" vertical="center"/>
    </xf>
    <xf numFmtId="0" fontId="70" fillId="0" borderId="19" xfId="0" applyFont="1" applyBorder="1" applyAlignment="1">
      <alignment horizontal="center" vertical="center"/>
    </xf>
    <xf numFmtId="0" fontId="70" fillId="0" borderId="14" xfId="0" applyFont="1" applyBorder="1" applyAlignment="1">
      <alignment horizontal="center" vertical="center"/>
    </xf>
    <xf numFmtId="0" fontId="32" fillId="10" borderId="19" xfId="0" applyFont="1" applyFill="1" applyBorder="1" applyAlignment="1">
      <alignment horizontal="center" vertical="center"/>
    </xf>
    <xf numFmtId="0" fontId="70" fillId="10" borderId="19" xfId="0" applyFont="1" applyFill="1" applyBorder="1" applyAlignment="1">
      <alignment horizontal="center" vertical="center"/>
    </xf>
    <xf numFmtId="0" fontId="0" fillId="10" borderId="19" xfId="0" applyFill="1" applyBorder="1" applyAlignment="1">
      <alignment horizontal="center" vertical="center"/>
    </xf>
    <xf numFmtId="0" fontId="14" fillId="10" borderId="19" xfId="0" applyFont="1" applyFill="1" applyBorder="1" applyAlignment="1">
      <alignment horizontal="center" vertical="center" wrapText="1"/>
    </xf>
    <xf numFmtId="0" fontId="70" fillId="0" borderId="13" xfId="0" applyFont="1" applyBorder="1" applyAlignment="1">
      <alignment horizontal="center" vertical="center" wrapText="1"/>
    </xf>
    <xf numFmtId="0" fontId="70" fillId="0" borderId="19" xfId="0" applyFont="1" applyBorder="1" applyAlignment="1">
      <alignment horizontal="center" vertical="center" wrapText="1"/>
    </xf>
    <xf numFmtId="0" fontId="70" fillId="0" borderId="14" xfId="0" applyFont="1" applyBorder="1" applyAlignment="1">
      <alignment horizontal="center" vertical="center" wrapText="1"/>
    </xf>
    <xf numFmtId="0" fontId="70" fillId="10" borderId="3" xfId="0" applyFont="1" applyFill="1" applyBorder="1" applyAlignment="1">
      <alignment horizontal="center" vertical="center"/>
    </xf>
    <xf numFmtId="49" fontId="70" fillId="0" borderId="13" xfId="0" applyNumberFormat="1" applyFont="1" applyBorder="1" applyAlignment="1">
      <alignment horizontal="center" vertical="center"/>
    </xf>
    <xf numFmtId="49" fontId="70" fillId="0" borderId="19" xfId="0" applyNumberFormat="1" applyFont="1" applyBorder="1" applyAlignment="1">
      <alignment horizontal="center" vertical="center"/>
    </xf>
    <xf numFmtId="49" fontId="70" fillId="0" borderId="14" xfId="0" applyNumberFormat="1" applyFont="1" applyBorder="1" applyAlignment="1">
      <alignment horizontal="center" vertical="center"/>
    </xf>
    <xf numFmtId="44" fontId="70" fillId="0" borderId="13" xfId="7" applyFont="1" applyBorder="1" applyAlignment="1">
      <alignment horizontal="center" vertical="center"/>
    </xf>
    <xf numFmtId="44" fontId="70" fillId="0" borderId="19" xfId="7" applyFont="1" applyBorder="1" applyAlignment="1">
      <alignment horizontal="center" vertical="center"/>
    </xf>
    <xf numFmtId="44" fontId="70" fillId="0" borderId="14" xfId="7" applyFont="1" applyBorder="1" applyAlignment="1">
      <alignment horizontal="center" vertical="center"/>
    </xf>
    <xf numFmtId="0" fontId="70" fillId="0" borderId="13" xfId="0" applyFont="1" applyBorder="1" applyAlignment="1">
      <alignment horizontal="center" wrapText="1"/>
    </xf>
    <xf numFmtId="0" fontId="70" fillId="0" borderId="14" xfId="0" applyFont="1" applyBorder="1" applyAlignment="1">
      <alignment horizontal="center" wrapText="1"/>
    </xf>
    <xf numFmtId="0" fontId="57" fillId="0" borderId="19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70" fillId="6" borderId="13" xfId="0" applyFont="1" applyFill="1" applyBorder="1" applyAlignment="1">
      <alignment horizontal="center" vertical="center" wrapText="1"/>
    </xf>
    <xf numFmtId="0" fontId="70" fillId="6" borderId="14" xfId="0" applyFont="1" applyFill="1" applyBorder="1" applyAlignment="1">
      <alignment horizontal="center" vertical="center" wrapText="1"/>
    </xf>
    <xf numFmtId="0" fontId="72" fillId="0" borderId="13" xfId="0" applyFont="1" applyBorder="1" applyAlignment="1">
      <alignment horizontal="center" vertical="center" wrapText="1"/>
    </xf>
    <xf numFmtId="0" fontId="72" fillId="0" borderId="14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69" fillId="0" borderId="13" xfId="0" applyFont="1" applyBorder="1" applyAlignment="1">
      <alignment horizontal="center" vertical="center"/>
    </xf>
    <xf numFmtId="0" fontId="69" fillId="0" borderId="14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168" fontId="72" fillId="0" borderId="13" xfId="7" applyNumberFormat="1" applyFont="1" applyFill="1" applyBorder="1" applyAlignment="1">
      <alignment horizontal="center" vertical="center"/>
    </xf>
    <xf numFmtId="168" fontId="72" fillId="0" borderId="14" xfId="7" applyNumberFormat="1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9">
    <cellStyle name="ConditionalStyle_1" xfId="1" xr:uid="{00000000-0005-0000-0000-000000000000}"/>
    <cellStyle name="Heading" xfId="2" xr:uid="{00000000-0005-0000-0000-000001000000}"/>
    <cellStyle name="Heading1" xfId="3" xr:uid="{00000000-0005-0000-0000-000002000000}"/>
    <cellStyle name="Moeda" xfId="7" builtinId="4"/>
    <cellStyle name="Normal" xfId="0" builtinId="0" customBuiltin="1"/>
    <cellStyle name="Normal 2" xfId="6" xr:uid="{00000000-0005-0000-0000-000005000000}"/>
    <cellStyle name="Normal 3" xfId="8" xr:uid="{00000000-0005-0000-0000-000006000000}"/>
    <cellStyle name="Result" xfId="4" xr:uid="{00000000-0005-0000-0000-000007000000}"/>
    <cellStyle name="Result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theme" Target="theme/theme1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topLeftCell="A2" workbookViewId="0">
      <selection activeCell="E14" sqref="E14"/>
    </sheetView>
  </sheetViews>
  <sheetFormatPr defaultRowHeight="15" customHeight="1" x14ac:dyDescent="0.3"/>
  <cols>
    <col min="1" max="1" width="8.58203125" customWidth="1"/>
    <col min="2" max="2" width="10.75" customWidth="1"/>
    <col min="3" max="3" width="44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6" t="s">
        <v>0</v>
      </c>
      <c r="W5" s="336"/>
      <c r="X5" s="8">
        <v>42917</v>
      </c>
    </row>
    <row r="6" spans="1:24" ht="14" x14ac:dyDescent="0.3">
      <c r="A6" s="337" t="s">
        <v>4</v>
      </c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</row>
    <row r="7" spans="1:24" ht="14" x14ac:dyDescent="0.3">
      <c r="A7" s="337" t="s">
        <v>5</v>
      </c>
      <c r="B7" s="337"/>
      <c r="C7" s="337" t="s">
        <v>6</v>
      </c>
      <c r="D7" s="337"/>
      <c r="E7" s="337"/>
      <c r="F7" s="337" t="s">
        <v>3</v>
      </c>
      <c r="G7" s="337"/>
      <c r="H7" s="337"/>
      <c r="I7" s="337"/>
      <c r="J7" s="337"/>
      <c r="K7" s="337"/>
      <c r="L7" s="337"/>
      <c r="M7" s="337"/>
      <c r="N7" s="337" t="s">
        <v>7</v>
      </c>
      <c r="O7" s="337"/>
      <c r="P7" s="337"/>
      <c r="Q7" s="337" t="s">
        <v>1</v>
      </c>
      <c r="R7" s="337"/>
      <c r="S7" s="337"/>
      <c r="T7" s="337"/>
      <c r="U7" s="337"/>
      <c r="V7" s="337"/>
      <c r="W7" s="337" t="s">
        <v>8</v>
      </c>
      <c r="X7" s="337" t="s">
        <v>9</v>
      </c>
    </row>
    <row r="8" spans="1:24" s="9" customFormat="1" ht="14" x14ac:dyDescent="0.3">
      <c r="A8" s="338" t="s">
        <v>10</v>
      </c>
      <c r="B8" s="338" t="s">
        <v>11</v>
      </c>
      <c r="C8" s="338" t="s">
        <v>12</v>
      </c>
      <c r="D8" s="338" t="s">
        <v>13</v>
      </c>
      <c r="E8" s="338" t="s">
        <v>14</v>
      </c>
      <c r="F8" s="338" t="s">
        <v>15</v>
      </c>
      <c r="G8" s="338" t="s">
        <v>16</v>
      </c>
      <c r="H8" s="338" t="s">
        <v>17</v>
      </c>
      <c r="I8" s="338"/>
      <c r="J8" s="339" t="s">
        <v>18</v>
      </c>
      <c r="K8" s="339"/>
      <c r="L8" s="338" t="s">
        <v>19</v>
      </c>
      <c r="M8" s="338" t="s">
        <v>20</v>
      </c>
      <c r="N8" s="339" t="s">
        <v>21</v>
      </c>
      <c r="O8" s="339" t="s">
        <v>22</v>
      </c>
      <c r="P8" s="339" t="s">
        <v>23</v>
      </c>
      <c r="Q8" s="339" t="s">
        <v>24</v>
      </c>
      <c r="R8" s="339"/>
      <c r="S8" s="339" t="s">
        <v>25</v>
      </c>
      <c r="T8" s="339"/>
      <c r="U8" s="338" t="s">
        <v>26</v>
      </c>
      <c r="V8" s="339" t="s">
        <v>23</v>
      </c>
      <c r="W8" s="337"/>
      <c r="X8" s="337"/>
    </row>
    <row r="9" spans="1:24" s="9" customFormat="1" ht="14" x14ac:dyDescent="0.3">
      <c r="A9" s="338"/>
      <c r="B9" s="338"/>
      <c r="C9" s="338"/>
      <c r="D9" s="338"/>
      <c r="E9" s="338"/>
      <c r="F9" s="338"/>
      <c r="G9" s="338"/>
      <c r="H9" s="10" t="s">
        <v>27</v>
      </c>
      <c r="I9" s="10" t="s">
        <v>28</v>
      </c>
      <c r="J9" s="10" t="s">
        <v>27</v>
      </c>
      <c r="K9" s="11" t="s">
        <v>29</v>
      </c>
      <c r="L9" s="338"/>
      <c r="M9" s="338"/>
      <c r="N9" s="339"/>
      <c r="O9" s="339"/>
      <c r="P9" s="339"/>
      <c r="Q9" s="10" t="s">
        <v>2</v>
      </c>
      <c r="R9" s="11" t="s">
        <v>30</v>
      </c>
      <c r="S9" s="10" t="s">
        <v>2</v>
      </c>
      <c r="T9" s="11" t="s">
        <v>30</v>
      </c>
      <c r="U9" s="338"/>
      <c r="V9" s="339"/>
      <c r="W9" s="337"/>
      <c r="X9" s="337"/>
    </row>
    <row r="10" spans="1:24" ht="25" x14ac:dyDescent="0.3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7.5" x14ac:dyDescent="0.3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7.5" x14ac:dyDescent="0.3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" x14ac:dyDescent="0.3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" x14ac:dyDescent="0.3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" x14ac:dyDescent="0.3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" x14ac:dyDescent="0.3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4.5" x14ac:dyDescent="0.85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14.5" x14ac:dyDescent="0.3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0"/>
  <sheetViews>
    <sheetView workbookViewId="0">
      <selection activeCell="A16" sqref="A16:E16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6" t="s">
        <v>0</v>
      </c>
      <c r="W5" s="336"/>
      <c r="X5" s="8">
        <v>43252</v>
      </c>
    </row>
    <row r="6" spans="1:24" ht="14" x14ac:dyDescent="0.3">
      <c r="A6" s="337" t="s">
        <v>4</v>
      </c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</row>
    <row r="7" spans="1:24" ht="14" x14ac:dyDescent="0.3">
      <c r="A7" s="337" t="s">
        <v>5</v>
      </c>
      <c r="B7" s="337"/>
      <c r="C7" s="337" t="s">
        <v>6</v>
      </c>
      <c r="D7" s="337"/>
      <c r="E7" s="337"/>
      <c r="F7" s="337" t="s">
        <v>3</v>
      </c>
      <c r="G7" s="337"/>
      <c r="H7" s="337"/>
      <c r="I7" s="337"/>
      <c r="J7" s="337"/>
      <c r="K7" s="337"/>
      <c r="L7" s="337"/>
      <c r="M7" s="337"/>
      <c r="N7" s="337" t="s">
        <v>7</v>
      </c>
      <c r="O7" s="337"/>
      <c r="P7" s="337"/>
      <c r="Q7" s="337" t="s">
        <v>1</v>
      </c>
      <c r="R7" s="337"/>
      <c r="S7" s="337"/>
      <c r="T7" s="337"/>
      <c r="U7" s="337"/>
      <c r="V7" s="337"/>
      <c r="W7" s="337" t="s">
        <v>8</v>
      </c>
      <c r="X7" s="337" t="s">
        <v>9</v>
      </c>
    </row>
    <row r="8" spans="1:24" s="9" customFormat="1" ht="14" x14ac:dyDescent="0.3">
      <c r="A8" s="338" t="s">
        <v>10</v>
      </c>
      <c r="B8" s="338" t="s">
        <v>11</v>
      </c>
      <c r="C8" s="338" t="s">
        <v>12</v>
      </c>
      <c r="D8" s="338" t="s">
        <v>13</v>
      </c>
      <c r="E8" s="338" t="s">
        <v>14</v>
      </c>
      <c r="F8" s="338" t="s">
        <v>15</v>
      </c>
      <c r="G8" s="338" t="s">
        <v>16</v>
      </c>
      <c r="H8" s="338" t="s">
        <v>17</v>
      </c>
      <c r="I8" s="338"/>
      <c r="J8" s="339" t="s">
        <v>18</v>
      </c>
      <c r="K8" s="339"/>
      <c r="L8" s="338" t="s">
        <v>19</v>
      </c>
      <c r="M8" s="338" t="s">
        <v>20</v>
      </c>
      <c r="N8" s="339" t="s">
        <v>21</v>
      </c>
      <c r="O8" s="339" t="s">
        <v>22</v>
      </c>
      <c r="P8" s="339" t="s">
        <v>23</v>
      </c>
      <c r="Q8" s="339" t="s">
        <v>24</v>
      </c>
      <c r="R8" s="339"/>
      <c r="S8" s="339" t="s">
        <v>25</v>
      </c>
      <c r="T8" s="339"/>
      <c r="U8" s="338" t="s">
        <v>26</v>
      </c>
      <c r="V8" s="339" t="s">
        <v>23</v>
      </c>
      <c r="W8" s="337"/>
      <c r="X8" s="337"/>
    </row>
    <row r="9" spans="1:24" s="9" customFormat="1" ht="17.25" customHeight="1" x14ac:dyDescent="0.3">
      <c r="A9" s="338"/>
      <c r="B9" s="338"/>
      <c r="C9" s="338"/>
      <c r="D9" s="338"/>
      <c r="E9" s="338"/>
      <c r="F9" s="338"/>
      <c r="G9" s="338"/>
      <c r="H9" s="10" t="s">
        <v>27</v>
      </c>
      <c r="I9" s="10" t="s">
        <v>28</v>
      </c>
      <c r="J9" s="10" t="s">
        <v>27</v>
      </c>
      <c r="K9" s="11" t="s">
        <v>29</v>
      </c>
      <c r="L9" s="338"/>
      <c r="M9" s="338"/>
      <c r="N9" s="339"/>
      <c r="O9" s="339"/>
      <c r="P9" s="339"/>
      <c r="Q9" s="10" t="s">
        <v>2</v>
      </c>
      <c r="R9" s="11" t="s">
        <v>30</v>
      </c>
      <c r="S9" s="10" t="s">
        <v>2</v>
      </c>
      <c r="T9" s="11" t="s">
        <v>30</v>
      </c>
      <c r="U9" s="338"/>
      <c r="V9" s="339"/>
      <c r="W9" s="337"/>
      <c r="X9" s="337"/>
    </row>
    <row r="10" spans="1:24" ht="47.25" customHeight="1" x14ac:dyDescent="0.3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" x14ac:dyDescent="0.3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" x14ac:dyDescent="0.3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" x14ac:dyDescent="0.3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" x14ac:dyDescent="0.3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" x14ac:dyDescent="0.3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37.5" x14ac:dyDescent="0.3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" x14ac:dyDescent="0.3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7.5" x14ac:dyDescent="0.3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37.5" x14ac:dyDescent="0.3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7.5" x14ac:dyDescent="0.3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4"/>
  <sheetViews>
    <sheetView topLeftCell="A7" workbookViewId="0">
      <selection activeCell="A24" sqref="A24:B24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6" t="s">
        <v>0</v>
      </c>
      <c r="W5" s="336"/>
      <c r="X5" s="8">
        <v>43282</v>
      </c>
    </row>
    <row r="6" spans="1:24" ht="14" x14ac:dyDescent="0.3">
      <c r="A6" s="337" t="s">
        <v>4</v>
      </c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</row>
    <row r="7" spans="1:24" ht="14" x14ac:dyDescent="0.3">
      <c r="A7" s="337" t="s">
        <v>5</v>
      </c>
      <c r="B7" s="337"/>
      <c r="C7" s="337" t="s">
        <v>6</v>
      </c>
      <c r="D7" s="337"/>
      <c r="E7" s="337"/>
      <c r="F7" s="337" t="s">
        <v>3</v>
      </c>
      <c r="G7" s="337"/>
      <c r="H7" s="337"/>
      <c r="I7" s="337"/>
      <c r="J7" s="337"/>
      <c r="K7" s="337"/>
      <c r="L7" s="337"/>
      <c r="M7" s="337"/>
      <c r="N7" s="337" t="s">
        <v>7</v>
      </c>
      <c r="O7" s="337"/>
      <c r="P7" s="337"/>
      <c r="Q7" s="337" t="s">
        <v>1</v>
      </c>
      <c r="R7" s="337"/>
      <c r="S7" s="337"/>
      <c r="T7" s="337"/>
      <c r="U7" s="337"/>
      <c r="V7" s="337"/>
      <c r="W7" s="337" t="s">
        <v>8</v>
      </c>
      <c r="X7" s="337" t="s">
        <v>9</v>
      </c>
    </row>
    <row r="8" spans="1:24" s="9" customFormat="1" ht="14" x14ac:dyDescent="0.3">
      <c r="A8" s="338" t="s">
        <v>10</v>
      </c>
      <c r="B8" s="338" t="s">
        <v>11</v>
      </c>
      <c r="C8" s="338" t="s">
        <v>12</v>
      </c>
      <c r="D8" s="338" t="s">
        <v>13</v>
      </c>
      <c r="E8" s="338" t="s">
        <v>14</v>
      </c>
      <c r="F8" s="338" t="s">
        <v>15</v>
      </c>
      <c r="G8" s="338" t="s">
        <v>16</v>
      </c>
      <c r="H8" s="338" t="s">
        <v>17</v>
      </c>
      <c r="I8" s="338"/>
      <c r="J8" s="339" t="s">
        <v>18</v>
      </c>
      <c r="K8" s="339"/>
      <c r="L8" s="338" t="s">
        <v>19</v>
      </c>
      <c r="M8" s="338" t="s">
        <v>20</v>
      </c>
      <c r="N8" s="339" t="s">
        <v>21</v>
      </c>
      <c r="O8" s="339" t="s">
        <v>22</v>
      </c>
      <c r="P8" s="339" t="s">
        <v>23</v>
      </c>
      <c r="Q8" s="339" t="s">
        <v>24</v>
      </c>
      <c r="R8" s="339"/>
      <c r="S8" s="339" t="s">
        <v>25</v>
      </c>
      <c r="T8" s="339"/>
      <c r="U8" s="338" t="s">
        <v>26</v>
      </c>
      <c r="V8" s="339" t="s">
        <v>23</v>
      </c>
      <c r="W8" s="337"/>
      <c r="X8" s="337"/>
    </row>
    <row r="9" spans="1:24" s="9" customFormat="1" ht="17.25" customHeight="1" x14ac:dyDescent="0.3">
      <c r="A9" s="338"/>
      <c r="B9" s="338"/>
      <c r="C9" s="338"/>
      <c r="D9" s="338"/>
      <c r="E9" s="338"/>
      <c r="F9" s="338"/>
      <c r="G9" s="338"/>
      <c r="H9" s="10" t="s">
        <v>27</v>
      </c>
      <c r="I9" s="10" t="s">
        <v>28</v>
      </c>
      <c r="J9" s="10" t="s">
        <v>27</v>
      </c>
      <c r="K9" s="11" t="s">
        <v>29</v>
      </c>
      <c r="L9" s="338"/>
      <c r="M9" s="338"/>
      <c r="N9" s="339"/>
      <c r="O9" s="339"/>
      <c r="P9" s="339"/>
      <c r="Q9" s="10" t="s">
        <v>2</v>
      </c>
      <c r="R9" s="11" t="s">
        <v>30</v>
      </c>
      <c r="S9" s="10" t="s">
        <v>2</v>
      </c>
      <c r="T9" s="11" t="s">
        <v>30</v>
      </c>
      <c r="U9" s="338"/>
      <c r="V9" s="339"/>
      <c r="W9" s="337"/>
      <c r="X9" s="337"/>
    </row>
    <row r="10" spans="1:24" ht="47.25" customHeight="1" x14ac:dyDescent="0.3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7.5" x14ac:dyDescent="0.3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37.5" x14ac:dyDescent="0.3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7.5" x14ac:dyDescent="0.3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7.5" x14ac:dyDescent="0.3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7.5" x14ac:dyDescent="0.3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7.5" x14ac:dyDescent="0.3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" x14ac:dyDescent="0.3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" x14ac:dyDescent="0.3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" x14ac:dyDescent="0.3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7.5" x14ac:dyDescent="0.3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37.5" x14ac:dyDescent="0.3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3">
      <c r="A22" s="352" t="s">
        <v>279</v>
      </c>
      <c r="B22" s="352" t="s">
        <v>279</v>
      </c>
      <c r="C22" s="354" t="s">
        <v>75</v>
      </c>
      <c r="D22" s="348" t="s">
        <v>104</v>
      </c>
      <c r="E22" s="350" t="s">
        <v>88</v>
      </c>
      <c r="F22" s="352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344">
        <v>0</v>
      </c>
      <c r="R22" s="340">
        <v>0</v>
      </c>
      <c r="S22" s="346">
        <v>0</v>
      </c>
      <c r="T22" s="340">
        <v>0</v>
      </c>
      <c r="U22" s="347">
        <f t="shared" si="1"/>
        <v>0</v>
      </c>
      <c r="V22" s="340">
        <f>P22+P23</f>
        <v>1406.06</v>
      </c>
      <c r="W22" s="341">
        <f t="shared" si="3"/>
        <v>1406.06</v>
      </c>
      <c r="X22" s="343"/>
    </row>
    <row r="23" spans="1:24" ht="38.25" customHeight="1" x14ac:dyDescent="0.3">
      <c r="A23" s="353"/>
      <c r="B23" s="353"/>
      <c r="C23" s="355"/>
      <c r="D23" s="349"/>
      <c r="E23" s="351"/>
      <c r="F23" s="353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345"/>
      <c r="R23" s="340"/>
      <c r="S23" s="346"/>
      <c r="T23" s="340"/>
      <c r="U23" s="347"/>
      <c r="V23" s="340"/>
      <c r="W23" s="342"/>
      <c r="X23" s="343"/>
    </row>
    <row r="24" spans="1:24" ht="43.5" customHeight="1" x14ac:dyDescent="0.3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D22:D23"/>
    <mergeCell ref="E22:E23"/>
    <mergeCell ref="F22:F23"/>
    <mergeCell ref="A22:A23"/>
    <mergeCell ref="B22:B23"/>
    <mergeCell ref="C22:C23"/>
    <mergeCell ref="V22:V23"/>
    <mergeCell ref="W22:W23"/>
    <mergeCell ref="X22:X23"/>
    <mergeCell ref="Q22:Q23"/>
    <mergeCell ref="R22:R23"/>
    <mergeCell ref="S22:S23"/>
    <mergeCell ref="T22:T23"/>
    <mergeCell ref="U22:U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26"/>
  <sheetViews>
    <sheetView topLeftCell="A4" workbookViewId="0">
      <selection activeCell="D16" sqref="D16:E16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6" t="s">
        <v>0</v>
      </c>
      <c r="W5" s="336"/>
      <c r="X5" s="8">
        <v>43313</v>
      </c>
    </row>
    <row r="6" spans="1:24" ht="14" x14ac:dyDescent="0.3">
      <c r="A6" s="337" t="s">
        <v>4</v>
      </c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</row>
    <row r="7" spans="1:24" ht="14" x14ac:dyDescent="0.3">
      <c r="A7" s="337" t="s">
        <v>5</v>
      </c>
      <c r="B7" s="337"/>
      <c r="C7" s="337" t="s">
        <v>6</v>
      </c>
      <c r="D7" s="337"/>
      <c r="E7" s="337"/>
      <c r="F7" s="337" t="s">
        <v>3</v>
      </c>
      <c r="G7" s="337"/>
      <c r="H7" s="337"/>
      <c r="I7" s="337"/>
      <c r="J7" s="337"/>
      <c r="K7" s="337"/>
      <c r="L7" s="337"/>
      <c r="M7" s="337"/>
      <c r="N7" s="337" t="s">
        <v>7</v>
      </c>
      <c r="O7" s="337"/>
      <c r="P7" s="337"/>
      <c r="Q7" s="337" t="s">
        <v>1</v>
      </c>
      <c r="R7" s="337"/>
      <c r="S7" s="337"/>
      <c r="T7" s="337"/>
      <c r="U7" s="337"/>
      <c r="V7" s="337"/>
      <c r="W7" s="337" t="s">
        <v>8</v>
      </c>
      <c r="X7" s="337" t="s">
        <v>9</v>
      </c>
    </row>
    <row r="8" spans="1:24" s="9" customFormat="1" ht="14" x14ac:dyDescent="0.3">
      <c r="A8" s="338" t="s">
        <v>10</v>
      </c>
      <c r="B8" s="338" t="s">
        <v>11</v>
      </c>
      <c r="C8" s="338" t="s">
        <v>12</v>
      </c>
      <c r="D8" s="338" t="s">
        <v>13</v>
      </c>
      <c r="E8" s="338" t="s">
        <v>14</v>
      </c>
      <c r="F8" s="338" t="s">
        <v>15</v>
      </c>
      <c r="G8" s="338" t="s">
        <v>16</v>
      </c>
      <c r="H8" s="338" t="s">
        <v>17</v>
      </c>
      <c r="I8" s="338"/>
      <c r="J8" s="339" t="s">
        <v>18</v>
      </c>
      <c r="K8" s="339"/>
      <c r="L8" s="338" t="s">
        <v>19</v>
      </c>
      <c r="M8" s="338" t="s">
        <v>20</v>
      </c>
      <c r="N8" s="339" t="s">
        <v>21</v>
      </c>
      <c r="O8" s="339" t="s">
        <v>22</v>
      </c>
      <c r="P8" s="339" t="s">
        <v>23</v>
      </c>
      <c r="Q8" s="339" t="s">
        <v>24</v>
      </c>
      <c r="R8" s="339"/>
      <c r="S8" s="339" t="s">
        <v>25</v>
      </c>
      <c r="T8" s="339"/>
      <c r="U8" s="338" t="s">
        <v>26</v>
      </c>
      <c r="V8" s="339" t="s">
        <v>23</v>
      </c>
      <c r="W8" s="337"/>
      <c r="X8" s="337"/>
    </row>
    <row r="9" spans="1:24" s="9" customFormat="1" ht="17.25" customHeight="1" x14ac:dyDescent="0.3">
      <c r="A9" s="338"/>
      <c r="B9" s="338"/>
      <c r="C9" s="338"/>
      <c r="D9" s="338"/>
      <c r="E9" s="338"/>
      <c r="F9" s="338"/>
      <c r="G9" s="338"/>
      <c r="H9" s="10" t="s">
        <v>27</v>
      </c>
      <c r="I9" s="10" t="s">
        <v>28</v>
      </c>
      <c r="J9" s="10" t="s">
        <v>27</v>
      </c>
      <c r="K9" s="11" t="s">
        <v>29</v>
      </c>
      <c r="L9" s="338"/>
      <c r="M9" s="338"/>
      <c r="N9" s="339"/>
      <c r="O9" s="339"/>
      <c r="P9" s="339"/>
      <c r="Q9" s="10" t="s">
        <v>2</v>
      </c>
      <c r="R9" s="11" t="s">
        <v>30</v>
      </c>
      <c r="S9" s="10" t="s">
        <v>2</v>
      </c>
      <c r="T9" s="11" t="s">
        <v>30</v>
      </c>
      <c r="U9" s="338"/>
      <c r="V9" s="339"/>
      <c r="W9" s="337"/>
      <c r="X9" s="337"/>
    </row>
    <row r="10" spans="1:24" ht="37.5" x14ac:dyDescent="0.3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" x14ac:dyDescent="0.3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37.5" x14ac:dyDescent="0.3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7.5" x14ac:dyDescent="0.3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" x14ac:dyDescent="0.3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7.5" x14ac:dyDescent="0.3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7.5" x14ac:dyDescent="0.3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7.5" x14ac:dyDescent="0.3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7.5" x14ac:dyDescent="0.3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7.5" x14ac:dyDescent="0.3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0" x14ac:dyDescent="0.3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" x14ac:dyDescent="0.3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3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3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3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37.5" x14ac:dyDescent="0.3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37.5" x14ac:dyDescent="0.3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19"/>
  <sheetViews>
    <sheetView workbookViewId="0">
      <selection activeCell="E12" sqref="E12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6" t="s">
        <v>0</v>
      </c>
      <c r="W5" s="336"/>
      <c r="X5" s="8">
        <v>43344</v>
      </c>
    </row>
    <row r="6" spans="1:24" ht="14" x14ac:dyDescent="0.3">
      <c r="A6" s="337" t="s">
        <v>4</v>
      </c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</row>
    <row r="7" spans="1:24" ht="14" x14ac:dyDescent="0.3">
      <c r="A7" s="337" t="s">
        <v>5</v>
      </c>
      <c r="B7" s="337"/>
      <c r="C7" s="337" t="s">
        <v>6</v>
      </c>
      <c r="D7" s="337"/>
      <c r="E7" s="337"/>
      <c r="F7" s="337" t="s">
        <v>3</v>
      </c>
      <c r="G7" s="337"/>
      <c r="H7" s="337"/>
      <c r="I7" s="337"/>
      <c r="J7" s="337"/>
      <c r="K7" s="337"/>
      <c r="L7" s="337"/>
      <c r="M7" s="337"/>
      <c r="N7" s="337" t="s">
        <v>7</v>
      </c>
      <c r="O7" s="337"/>
      <c r="P7" s="337"/>
      <c r="Q7" s="337" t="s">
        <v>1</v>
      </c>
      <c r="R7" s="337"/>
      <c r="S7" s="337"/>
      <c r="T7" s="337"/>
      <c r="U7" s="337"/>
      <c r="V7" s="337"/>
      <c r="W7" s="337" t="s">
        <v>8</v>
      </c>
      <c r="X7" s="337" t="s">
        <v>9</v>
      </c>
    </row>
    <row r="8" spans="1:24" s="9" customFormat="1" ht="14" x14ac:dyDescent="0.3">
      <c r="A8" s="338" t="s">
        <v>10</v>
      </c>
      <c r="B8" s="338" t="s">
        <v>11</v>
      </c>
      <c r="C8" s="338" t="s">
        <v>12</v>
      </c>
      <c r="D8" s="338" t="s">
        <v>13</v>
      </c>
      <c r="E8" s="338" t="s">
        <v>14</v>
      </c>
      <c r="F8" s="338" t="s">
        <v>15</v>
      </c>
      <c r="G8" s="338" t="s">
        <v>16</v>
      </c>
      <c r="H8" s="338" t="s">
        <v>17</v>
      </c>
      <c r="I8" s="338"/>
      <c r="J8" s="339" t="s">
        <v>18</v>
      </c>
      <c r="K8" s="339"/>
      <c r="L8" s="338" t="s">
        <v>19</v>
      </c>
      <c r="M8" s="338" t="s">
        <v>20</v>
      </c>
      <c r="N8" s="339" t="s">
        <v>21</v>
      </c>
      <c r="O8" s="339" t="s">
        <v>22</v>
      </c>
      <c r="P8" s="339" t="s">
        <v>23</v>
      </c>
      <c r="Q8" s="339" t="s">
        <v>24</v>
      </c>
      <c r="R8" s="339"/>
      <c r="S8" s="339" t="s">
        <v>25</v>
      </c>
      <c r="T8" s="339"/>
      <c r="U8" s="338" t="s">
        <v>26</v>
      </c>
      <c r="V8" s="339" t="s">
        <v>23</v>
      </c>
      <c r="W8" s="337"/>
      <c r="X8" s="337"/>
    </row>
    <row r="9" spans="1:24" s="9" customFormat="1" ht="17.25" customHeight="1" x14ac:dyDescent="0.3">
      <c r="A9" s="338"/>
      <c r="B9" s="338"/>
      <c r="C9" s="338"/>
      <c r="D9" s="338"/>
      <c r="E9" s="338"/>
      <c r="F9" s="338"/>
      <c r="G9" s="338"/>
      <c r="H9" s="10" t="s">
        <v>27</v>
      </c>
      <c r="I9" s="10" t="s">
        <v>28</v>
      </c>
      <c r="J9" s="10" t="s">
        <v>27</v>
      </c>
      <c r="K9" s="11" t="s">
        <v>29</v>
      </c>
      <c r="L9" s="338"/>
      <c r="M9" s="338"/>
      <c r="N9" s="339"/>
      <c r="O9" s="339"/>
      <c r="P9" s="339"/>
      <c r="Q9" s="10" t="s">
        <v>2</v>
      </c>
      <c r="R9" s="11" t="s">
        <v>30</v>
      </c>
      <c r="S9" s="10" t="s">
        <v>2</v>
      </c>
      <c r="T9" s="11" t="s">
        <v>30</v>
      </c>
      <c r="U9" s="338"/>
      <c r="V9" s="339"/>
      <c r="W9" s="337"/>
      <c r="X9" s="337"/>
    </row>
    <row r="10" spans="1:24" ht="37.5" x14ac:dyDescent="0.3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" x14ac:dyDescent="0.3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3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7.5" x14ac:dyDescent="0.3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" x14ac:dyDescent="0.3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37.5" x14ac:dyDescent="0.3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" x14ac:dyDescent="0.3">
      <c r="A16" s="352" t="s">
        <v>250</v>
      </c>
      <c r="B16" s="352" t="s">
        <v>250</v>
      </c>
      <c r="C16" s="354" t="s">
        <v>319</v>
      </c>
      <c r="D16" s="348" t="s">
        <v>324</v>
      </c>
      <c r="E16" s="350" t="s">
        <v>87</v>
      </c>
      <c r="F16" s="352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362">
        <v>43356</v>
      </c>
      <c r="M16" s="362">
        <v>43357</v>
      </c>
      <c r="N16" s="31">
        <f>1465.14/2</f>
        <v>732.57</v>
      </c>
      <c r="O16" s="31"/>
      <c r="P16" s="358">
        <f>N16+O17</f>
        <v>1465.14</v>
      </c>
      <c r="Q16" s="354">
        <v>2</v>
      </c>
      <c r="R16" s="358">
        <v>120</v>
      </c>
      <c r="S16" s="354">
        <v>0</v>
      </c>
      <c r="T16" s="358">
        <v>0</v>
      </c>
      <c r="U16" s="360">
        <f t="shared" si="1"/>
        <v>240</v>
      </c>
      <c r="V16" s="358">
        <f t="shared" si="2"/>
        <v>1705.14</v>
      </c>
      <c r="W16" s="358">
        <f t="shared" si="3"/>
        <v>1705.14</v>
      </c>
      <c r="X16" s="356"/>
    </row>
    <row r="17" spans="1:24" ht="14" x14ac:dyDescent="0.3">
      <c r="A17" s="353"/>
      <c r="B17" s="353"/>
      <c r="C17" s="355"/>
      <c r="D17" s="349"/>
      <c r="E17" s="351"/>
      <c r="F17" s="353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363"/>
      <c r="M17" s="363"/>
      <c r="N17" s="31"/>
      <c r="O17" s="31">
        <f>1465.14/2</f>
        <v>732.57</v>
      </c>
      <c r="P17" s="359"/>
      <c r="Q17" s="355"/>
      <c r="R17" s="359"/>
      <c r="S17" s="355"/>
      <c r="T17" s="359"/>
      <c r="U17" s="361"/>
      <c r="V17" s="359"/>
      <c r="W17" s="359"/>
      <c r="X17" s="357"/>
    </row>
    <row r="18" spans="1:24" ht="37.5" x14ac:dyDescent="0.3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7.5" x14ac:dyDescent="0.3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U8:U9"/>
    <mergeCell ref="V8:V9"/>
    <mergeCell ref="M8:M9"/>
    <mergeCell ref="N8:N9"/>
    <mergeCell ref="P8:P9"/>
    <mergeCell ref="Q8:R8"/>
    <mergeCell ref="S8:T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21"/>
  <sheetViews>
    <sheetView workbookViewId="0">
      <selection activeCell="D21" sqref="D21:E21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6" t="s">
        <v>0</v>
      </c>
      <c r="W5" s="336"/>
      <c r="X5" s="8">
        <v>43374</v>
      </c>
    </row>
    <row r="6" spans="1:24" ht="14" x14ac:dyDescent="0.3">
      <c r="A6" s="337" t="s">
        <v>4</v>
      </c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</row>
    <row r="7" spans="1:24" ht="14" x14ac:dyDescent="0.3">
      <c r="A7" s="337" t="s">
        <v>5</v>
      </c>
      <c r="B7" s="337"/>
      <c r="C7" s="337" t="s">
        <v>6</v>
      </c>
      <c r="D7" s="337"/>
      <c r="E7" s="337"/>
      <c r="F7" s="337" t="s">
        <v>3</v>
      </c>
      <c r="G7" s="337"/>
      <c r="H7" s="337"/>
      <c r="I7" s="337"/>
      <c r="J7" s="337"/>
      <c r="K7" s="337"/>
      <c r="L7" s="337"/>
      <c r="M7" s="337"/>
      <c r="N7" s="337" t="s">
        <v>7</v>
      </c>
      <c r="O7" s="337"/>
      <c r="P7" s="337"/>
      <c r="Q7" s="337" t="s">
        <v>1</v>
      </c>
      <c r="R7" s="337"/>
      <c r="S7" s="337"/>
      <c r="T7" s="337"/>
      <c r="U7" s="337"/>
      <c r="V7" s="337"/>
      <c r="W7" s="337" t="s">
        <v>8</v>
      </c>
      <c r="X7" s="337" t="s">
        <v>9</v>
      </c>
    </row>
    <row r="8" spans="1:24" s="9" customFormat="1" ht="14" x14ac:dyDescent="0.3">
      <c r="A8" s="338" t="s">
        <v>10</v>
      </c>
      <c r="B8" s="338" t="s">
        <v>11</v>
      </c>
      <c r="C8" s="338" t="s">
        <v>12</v>
      </c>
      <c r="D8" s="338" t="s">
        <v>13</v>
      </c>
      <c r="E8" s="338" t="s">
        <v>14</v>
      </c>
      <c r="F8" s="338" t="s">
        <v>15</v>
      </c>
      <c r="G8" s="338" t="s">
        <v>16</v>
      </c>
      <c r="H8" s="338" t="s">
        <v>17</v>
      </c>
      <c r="I8" s="338"/>
      <c r="J8" s="339" t="s">
        <v>18</v>
      </c>
      <c r="K8" s="339"/>
      <c r="L8" s="338" t="s">
        <v>19</v>
      </c>
      <c r="M8" s="338" t="s">
        <v>20</v>
      </c>
      <c r="N8" s="339" t="s">
        <v>21</v>
      </c>
      <c r="O8" s="339" t="s">
        <v>22</v>
      </c>
      <c r="P8" s="339" t="s">
        <v>23</v>
      </c>
      <c r="Q8" s="339" t="s">
        <v>24</v>
      </c>
      <c r="R8" s="339"/>
      <c r="S8" s="339" t="s">
        <v>25</v>
      </c>
      <c r="T8" s="339"/>
      <c r="U8" s="338" t="s">
        <v>26</v>
      </c>
      <c r="V8" s="339" t="s">
        <v>23</v>
      </c>
      <c r="W8" s="337"/>
      <c r="X8" s="337"/>
    </row>
    <row r="9" spans="1:24" s="9" customFormat="1" ht="17.25" customHeight="1" x14ac:dyDescent="0.3">
      <c r="A9" s="338"/>
      <c r="B9" s="338"/>
      <c r="C9" s="338"/>
      <c r="D9" s="338"/>
      <c r="E9" s="338"/>
      <c r="F9" s="338"/>
      <c r="G9" s="338"/>
      <c r="H9" s="10" t="s">
        <v>27</v>
      </c>
      <c r="I9" s="10" t="s">
        <v>28</v>
      </c>
      <c r="J9" s="10" t="s">
        <v>27</v>
      </c>
      <c r="K9" s="11" t="s">
        <v>29</v>
      </c>
      <c r="L9" s="338"/>
      <c r="M9" s="338"/>
      <c r="N9" s="339"/>
      <c r="O9" s="339"/>
      <c r="P9" s="339"/>
      <c r="Q9" s="10" t="s">
        <v>2</v>
      </c>
      <c r="R9" s="11" t="s">
        <v>30</v>
      </c>
      <c r="S9" s="10" t="s">
        <v>2</v>
      </c>
      <c r="T9" s="11" t="s">
        <v>30</v>
      </c>
      <c r="U9" s="338"/>
      <c r="V9" s="339"/>
      <c r="W9" s="337"/>
      <c r="X9" s="337"/>
    </row>
    <row r="10" spans="1:24" ht="37.5" x14ac:dyDescent="0.3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7.5" x14ac:dyDescent="0.3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3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37.5" x14ac:dyDescent="0.3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7.5" x14ac:dyDescent="0.3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7.5" x14ac:dyDescent="0.3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37.5" x14ac:dyDescent="0.3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0" x14ac:dyDescent="0.3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3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" x14ac:dyDescent="0.3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7.5" x14ac:dyDescent="0.3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7.5" x14ac:dyDescent="0.3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26"/>
  <sheetViews>
    <sheetView topLeftCell="A7" workbookViewId="0">
      <selection activeCell="E21" sqref="E21:E22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6" t="s">
        <v>0</v>
      </c>
      <c r="W5" s="336"/>
      <c r="X5" s="8">
        <v>43405</v>
      </c>
    </row>
    <row r="6" spans="1:24" ht="14" x14ac:dyDescent="0.3">
      <c r="A6" s="337" t="s">
        <v>4</v>
      </c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</row>
    <row r="7" spans="1:24" ht="14" x14ac:dyDescent="0.3">
      <c r="A7" s="337" t="s">
        <v>5</v>
      </c>
      <c r="B7" s="337"/>
      <c r="C7" s="337" t="s">
        <v>6</v>
      </c>
      <c r="D7" s="337"/>
      <c r="E7" s="337"/>
      <c r="F7" s="337" t="s">
        <v>3</v>
      </c>
      <c r="G7" s="337"/>
      <c r="H7" s="337"/>
      <c r="I7" s="337"/>
      <c r="J7" s="337"/>
      <c r="K7" s="337"/>
      <c r="L7" s="337"/>
      <c r="M7" s="337"/>
      <c r="N7" s="337" t="s">
        <v>7</v>
      </c>
      <c r="O7" s="337"/>
      <c r="P7" s="337"/>
      <c r="Q7" s="337" t="s">
        <v>1</v>
      </c>
      <c r="R7" s="337"/>
      <c r="S7" s="337"/>
      <c r="T7" s="337"/>
      <c r="U7" s="337"/>
      <c r="V7" s="337"/>
      <c r="W7" s="337" t="s">
        <v>8</v>
      </c>
      <c r="X7" s="337" t="s">
        <v>9</v>
      </c>
    </row>
    <row r="8" spans="1:24" s="9" customFormat="1" ht="14" x14ac:dyDescent="0.3">
      <c r="A8" s="338" t="s">
        <v>10</v>
      </c>
      <c r="B8" s="338" t="s">
        <v>11</v>
      </c>
      <c r="C8" s="338" t="s">
        <v>12</v>
      </c>
      <c r="D8" s="338" t="s">
        <v>13</v>
      </c>
      <c r="E8" s="338" t="s">
        <v>14</v>
      </c>
      <c r="F8" s="338" t="s">
        <v>15</v>
      </c>
      <c r="G8" s="338" t="s">
        <v>16</v>
      </c>
      <c r="H8" s="338" t="s">
        <v>17</v>
      </c>
      <c r="I8" s="338"/>
      <c r="J8" s="339" t="s">
        <v>18</v>
      </c>
      <c r="K8" s="339"/>
      <c r="L8" s="338" t="s">
        <v>19</v>
      </c>
      <c r="M8" s="338" t="s">
        <v>20</v>
      </c>
      <c r="N8" s="339" t="s">
        <v>21</v>
      </c>
      <c r="O8" s="339" t="s">
        <v>22</v>
      </c>
      <c r="P8" s="339" t="s">
        <v>23</v>
      </c>
      <c r="Q8" s="339" t="s">
        <v>24</v>
      </c>
      <c r="R8" s="339"/>
      <c r="S8" s="339" t="s">
        <v>25</v>
      </c>
      <c r="T8" s="339"/>
      <c r="U8" s="338" t="s">
        <v>26</v>
      </c>
      <c r="V8" s="339" t="s">
        <v>23</v>
      </c>
      <c r="W8" s="337"/>
      <c r="X8" s="337"/>
    </row>
    <row r="9" spans="1:24" s="9" customFormat="1" ht="17.25" customHeight="1" x14ac:dyDescent="0.3">
      <c r="A9" s="338"/>
      <c r="B9" s="338"/>
      <c r="C9" s="338"/>
      <c r="D9" s="338"/>
      <c r="E9" s="338"/>
      <c r="F9" s="338"/>
      <c r="G9" s="338"/>
      <c r="H9" s="10" t="s">
        <v>27</v>
      </c>
      <c r="I9" s="10" t="s">
        <v>28</v>
      </c>
      <c r="J9" s="10" t="s">
        <v>27</v>
      </c>
      <c r="K9" s="11" t="s">
        <v>29</v>
      </c>
      <c r="L9" s="338"/>
      <c r="M9" s="338"/>
      <c r="N9" s="339"/>
      <c r="O9" s="339"/>
      <c r="P9" s="339"/>
      <c r="Q9" s="10" t="s">
        <v>2</v>
      </c>
      <c r="R9" s="11" t="s">
        <v>30</v>
      </c>
      <c r="S9" s="10" t="s">
        <v>2</v>
      </c>
      <c r="T9" s="11" t="s">
        <v>30</v>
      </c>
      <c r="U9" s="338"/>
      <c r="V9" s="339"/>
      <c r="W9" s="337"/>
      <c r="X9" s="337"/>
    </row>
    <row r="10" spans="1:24" ht="25" x14ac:dyDescent="0.3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" x14ac:dyDescent="0.3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3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7.5" x14ac:dyDescent="0.3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37.5" x14ac:dyDescent="0.3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7.5" x14ac:dyDescent="0.3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7.5" x14ac:dyDescent="0.3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7.5" x14ac:dyDescent="0.3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3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7.5" x14ac:dyDescent="0.3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" x14ac:dyDescent="0.3">
      <c r="A20" s="34" t="s">
        <v>229</v>
      </c>
      <c r="B20" s="34" t="s">
        <v>229</v>
      </c>
      <c r="C20" s="40" t="s">
        <v>80</v>
      </c>
      <c r="D20" s="51" t="s">
        <v>74</v>
      </c>
      <c r="E20" s="20" t="s">
        <v>90</v>
      </c>
      <c r="F20" s="34" t="s">
        <v>377</v>
      </c>
      <c r="G20" s="30" t="s">
        <v>31</v>
      </c>
      <c r="H20" s="40" t="s">
        <v>32</v>
      </c>
      <c r="I20" s="40" t="s">
        <v>33</v>
      </c>
      <c r="J20" s="40" t="s">
        <v>38</v>
      </c>
      <c r="K20" s="39" t="s">
        <v>39</v>
      </c>
      <c r="L20" s="52">
        <v>43425</v>
      </c>
      <c r="M20" s="52">
        <v>43426</v>
      </c>
      <c r="N20" s="39">
        <v>894.66</v>
      </c>
      <c r="O20" s="39">
        <v>690.35</v>
      </c>
      <c r="P20" s="39">
        <f t="shared" si="0"/>
        <v>690.35</v>
      </c>
      <c r="Q20" s="40">
        <v>0</v>
      </c>
      <c r="R20" s="39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690.35</v>
      </c>
      <c r="W20" s="39">
        <f t="shared" si="3"/>
        <v>690.35</v>
      </c>
      <c r="X20" s="42"/>
    </row>
    <row r="21" spans="1:24" ht="14" x14ac:dyDescent="0.3">
      <c r="A21" s="365" t="s">
        <v>372</v>
      </c>
      <c r="B21" s="365" t="s">
        <v>372</v>
      </c>
      <c r="C21" s="346" t="s">
        <v>75</v>
      </c>
      <c r="D21" s="375" t="s">
        <v>74</v>
      </c>
      <c r="E21" s="376" t="s">
        <v>88</v>
      </c>
      <c r="F21" s="377" t="s">
        <v>374</v>
      </c>
      <c r="G21" s="378" t="s">
        <v>31</v>
      </c>
      <c r="H21" s="47" t="s">
        <v>32</v>
      </c>
      <c r="I21" s="47" t="s">
        <v>33</v>
      </c>
      <c r="J21" s="47" t="s">
        <v>38</v>
      </c>
      <c r="K21" s="45" t="s">
        <v>39</v>
      </c>
      <c r="L21" s="364">
        <v>43433</v>
      </c>
      <c r="M21" s="364">
        <v>43434</v>
      </c>
      <c r="N21" s="373">
        <f>1395.23/2</f>
        <v>697.61500000000001</v>
      </c>
      <c r="O21" s="371">
        <f>1395.23/2</f>
        <v>697.61500000000001</v>
      </c>
      <c r="P21" s="367">
        <f t="shared" si="0"/>
        <v>697.61500000000001</v>
      </c>
      <c r="Q21" s="346">
        <v>0</v>
      </c>
      <c r="R21" s="367">
        <v>0</v>
      </c>
      <c r="S21" s="346">
        <v>0</v>
      </c>
      <c r="T21" s="367">
        <v>0</v>
      </c>
      <c r="U21" s="368">
        <f t="shared" si="1"/>
        <v>0</v>
      </c>
      <c r="V21" s="358">
        <f t="shared" si="2"/>
        <v>697.61500000000001</v>
      </c>
      <c r="W21" s="371">
        <f t="shared" si="3"/>
        <v>697.61500000000001</v>
      </c>
      <c r="X21" s="364"/>
    </row>
    <row r="22" spans="1:24" ht="26.25" customHeight="1" x14ac:dyDescent="0.3">
      <c r="A22" s="366"/>
      <c r="B22" s="366"/>
      <c r="C22" s="346"/>
      <c r="D22" s="375"/>
      <c r="E22" s="376"/>
      <c r="F22" s="377"/>
      <c r="G22" s="378"/>
      <c r="H22" s="47" t="s">
        <v>38</v>
      </c>
      <c r="I22" s="45" t="s">
        <v>39</v>
      </c>
      <c r="J22" s="47" t="s">
        <v>111</v>
      </c>
      <c r="K22" s="45" t="s">
        <v>112</v>
      </c>
      <c r="L22" s="364"/>
      <c r="M22" s="364"/>
      <c r="N22" s="374"/>
      <c r="O22" s="372"/>
      <c r="P22" s="367">
        <f t="shared" si="0"/>
        <v>0</v>
      </c>
      <c r="Q22" s="346"/>
      <c r="R22" s="367"/>
      <c r="S22" s="346"/>
      <c r="T22" s="367"/>
      <c r="U22" s="369"/>
      <c r="V22" s="370"/>
      <c r="W22" s="372"/>
      <c r="X22" s="364"/>
    </row>
    <row r="23" spans="1:24" ht="37.5" x14ac:dyDescent="0.3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7.5" x14ac:dyDescent="0.3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37.5" x14ac:dyDescent="0.3">
      <c r="A25" s="34" t="s">
        <v>250</v>
      </c>
      <c r="B25" s="34" t="s">
        <v>250</v>
      </c>
      <c r="C25" s="47" t="s">
        <v>319</v>
      </c>
      <c r="D25" s="56" t="s">
        <v>324</v>
      </c>
      <c r="E25" s="20" t="s">
        <v>352</v>
      </c>
      <c r="F25" s="53" t="s">
        <v>376</v>
      </c>
      <c r="G25" s="55" t="s">
        <v>31</v>
      </c>
      <c r="H25" s="47" t="s">
        <v>32</v>
      </c>
      <c r="I25" s="47" t="s">
        <v>33</v>
      </c>
      <c r="J25" s="27" t="s">
        <v>38</v>
      </c>
      <c r="K25" s="31" t="s">
        <v>39</v>
      </c>
      <c r="L25" s="54">
        <v>43433</v>
      </c>
      <c r="M25" s="54">
        <v>43437</v>
      </c>
      <c r="N25" s="57">
        <f>1239.42/2</f>
        <v>619.71</v>
      </c>
      <c r="O25" s="57">
        <f>1239.42/2</f>
        <v>619.71</v>
      </c>
      <c r="P25" s="59">
        <f t="shared" si="0"/>
        <v>619.71</v>
      </c>
      <c r="Q25" s="47">
        <v>2</v>
      </c>
      <c r="R25" s="59">
        <v>120</v>
      </c>
      <c r="S25" s="47">
        <v>0</v>
      </c>
      <c r="T25" s="59">
        <v>0</v>
      </c>
      <c r="U25" s="60">
        <f t="shared" si="1"/>
        <v>240</v>
      </c>
      <c r="V25" s="39">
        <f t="shared" si="2"/>
        <v>859.71</v>
      </c>
      <c r="W25" s="58">
        <f t="shared" si="3"/>
        <v>859.71</v>
      </c>
      <c r="X25" s="54"/>
    </row>
    <row r="26" spans="1:24" ht="37.5" x14ac:dyDescent="0.3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3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P8:P9"/>
    <mergeCell ref="Q8:R8"/>
    <mergeCell ref="S8:T8"/>
    <mergeCell ref="U8:U9"/>
    <mergeCell ref="V8:V9"/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15"/>
  <sheetViews>
    <sheetView topLeftCell="A5" workbookViewId="0">
      <selection activeCell="D10" sqref="D10:E10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6" t="s">
        <v>0</v>
      </c>
      <c r="W5" s="336"/>
      <c r="X5" s="8">
        <v>43435</v>
      </c>
    </row>
    <row r="6" spans="1:24" ht="14" x14ac:dyDescent="0.3">
      <c r="A6" s="337" t="s">
        <v>4</v>
      </c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</row>
    <row r="7" spans="1:24" ht="14" x14ac:dyDescent="0.3">
      <c r="A7" s="337" t="s">
        <v>5</v>
      </c>
      <c r="B7" s="337"/>
      <c r="C7" s="337" t="s">
        <v>6</v>
      </c>
      <c r="D7" s="337"/>
      <c r="E7" s="337"/>
      <c r="F7" s="337" t="s">
        <v>3</v>
      </c>
      <c r="G7" s="337"/>
      <c r="H7" s="337"/>
      <c r="I7" s="337"/>
      <c r="J7" s="337"/>
      <c r="K7" s="337"/>
      <c r="L7" s="337"/>
      <c r="M7" s="337"/>
      <c r="N7" s="337" t="s">
        <v>7</v>
      </c>
      <c r="O7" s="337"/>
      <c r="P7" s="337"/>
      <c r="Q7" s="337" t="s">
        <v>1</v>
      </c>
      <c r="R7" s="337"/>
      <c r="S7" s="337"/>
      <c r="T7" s="337"/>
      <c r="U7" s="337"/>
      <c r="V7" s="337"/>
      <c r="W7" s="337" t="s">
        <v>8</v>
      </c>
      <c r="X7" s="337" t="s">
        <v>9</v>
      </c>
    </row>
    <row r="8" spans="1:24" s="9" customFormat="1" ht="14" x14ac:dyDescent="0.3">
      <c r="A8" s="338" t="s">
        <v>10</v>
      </c>
      <c r="B8" s="338" t="s">
        <v>11</v>
      </c>
      <c r="C8" s="338" t="s">
        <v>12</v>
      </c>
      <c r="D8" s="338" t="s">
        <v>13</v>
      </c>
      <c r="E8" s="338" t="s">
        <v>14</v>
      </c>
      <c r="F8" s="338" t="s">
        <v>15</v>
      </c>
      <c r="G8" s="338" t="s">
        <v>16</v>
      </c>
      <c r="H8" s="338" t="s">
        <v>17</v>
      </c>
      <c r="I8" s="338"/>
      <c r="J8" s="339" t="s">
        <v>18</v>
      </c>
      <c r="K8" s="339"/>
      <c r="L8" s="338" t="s">
        <v>19</v>
      </c>
      <c r="M8" s="338" t="s">
        <v>20</v>
      </c>
      <c r="N8" s="339" t="s">
        <v>21</v>
      </c>
      <c r="O8" s="339" t="s">
        <v>22</v>
      </c>
      <c r="P8" s="339" t="s">
        <v>23</v>
      </c>
      <c r="Q8" s="339" t="s">
        <v>24</v>
      </c>
      <c r="R8" s="339"/>
      <c r="S8" s="339" t="s">
        <v>25</v>
      </c>
      <c r="T8" s="339"/>
      <c r="U8" s="338" t="s">
        <v>26</v>
      </c>
      <c r="V8" s="339" t="s">
        <v>23</v>
      </c>
      <c r="W8" s="337"/>
      <c r="X8" s="337"/>
    </row>
    <row r="9" spans="1:24" s="9" customFormat="1" ht="17.25" customHeight="1" x14ac:dyDescent="0.3">
      <c r="A9" s="338"/>
      <c r="B9" s="338"/>
      <c r="C9" s="338"/>
      <c r="D9" s="338"/>
      <c r="E9" s="338"/>
      <c r="F9" s="338"/>
      <c r="G9" s="338"/>
      <c r="H9" s="10" t="s">
        <v>27</v>
      </c>
      <c r="I9" s="10" t="s">
        <v>28</v>
      </c>
      <c r="J9" s="10" t="s">
        <v>27</v>
      </c>
      <c r="K9" s="11" t="s">
        <v>29</v>
      </c>
      <c r="L9" s="338"/>
      <c r="M9" s="338"/>
      <c r="N9" s="339"/>
      <c r="O9" s="339"/>
      <c r="P9" s="339"/>
      <c r="Q9" s="10" t="s">
        <v>2</v>
      </c>
      <c r="R9" s="11" t="s">
        <v>30</v>
      </c>
      <c r="S9" s="10" t="s">
        <v>2</v>
      </c>
      <c r="T9" s="11" t="s">
        <v>30</v>
      </c>
      <c r="U9" s="338"/>
      <c r="V9" s="339"/>
      <c r="W9" s="337"/>
      <c r="X9" s="337"/>
    </row>
    <row r="10" spans="1:24" ht="25" x14ac:dyDescent="0.3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" x14ac:dyDescent="0.3">
      <c r="A11" s="34" t="s">
        <v>229</v>
      </c>
      <c r="B11" s="34" t="s">
        <v>229</v>
      </c>
      <c r="C11" s="27" t="s">
        <v>80</v>
      </c>
      <c r="D11" s="51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3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7.5" x14ac:dyDescent="0.3">
      <c r="A13" s="34" t="s">
        <v>229</v>
      </c>
      <c r="B13" s="34" t="s">
        <v>229</v>
      </c>
      <c r="C13" s="27" t="s">
        <v>80</v>
      </c>
      <c r="D13" s="51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7.5" x14ac:dyDescent="0.3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37.5" x14ac:dyDescent="0.3">
      <c r="A15" s="34" t="s">
        <v>250</v>
      </c>
      <c r="B15" s="34" t="s">
        <v>250</v>
      </c>
      <c r="C15" s="27" t="s">
        <v>319</v>
      </c>
      <c r="D15" s="56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19"/>
  <sheetViews>
    <sheetView workbookViewId="0">
      <selection activeCell="D10" sqref="D10:E10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6" t="s">
        <v>0</v>
      </c>
      <c r="W5" s="336"/>
      <c r="X5" s="8">
        <v>43466</v>
      </c>
    </row>
    <row r="6" spans="1:24" ht="14" x14ac:dyDescent="0.3">
      <c r="A6" s="337" t="s">
        <v>4</v>
      </c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</row>
    <row r="7" spans="1:24" ht="14" x14ac:dyDescent="0.3">
      <c r="A7" s="337" t="s">
        <v>5</v>
      </c>
      <c r="B7" s="337"/>
      <c r="C7" s="337" t="s">
        <v>6</v>
      </c>
      <c r="D7" s="337"/>
      <c r="E7" s="337"/>
      <c r="F7" s="337" t="s">
        <v>3</v>
      </c>
      <c r="G7" s="337"/>
      <c r="H7" s="337"/>
      <c r="I7" s="337"/>
      <c r="J7" s="337"/>
      <c r="K7" s="337"/>
      <c r="L7" s="337"/>
      <c r="M7" s="337"/>
      <c r="N7" s="337" t="s">
        <v>7</v>
      </c>
      <c r="O7" s="337"/>
      <c r="P7" s="337"/>
      <c r="Q7" s="337" t="s">
        <v>1</v>
      </c>
      <c r="R7" s="337"/>
      <c r="S7" s="337"/>
      <c r="T7" s="337"/>
      <c r="U7" s="337"/>
      <c r="V7" s="337"/>
      <c r="W7" s="337" t="s">
        <v>8</v>
      </c>
      <c r="X7" s="337" t="s">
        <v>9</v>
      </c>
    </row>
    <row r="8" spans="1:24" s="9" customFormat="1" ht="14" x14ac:dyDescent="0.3">
      <c r="A8" s="338" t="s">
        <v>10</v>
      </c>
      <c r="B8" s="338" t="s">
        <v>11</v>
      </c>
      <c r="C8" s="338" t="s">
        <v>12</v>
      </c>
      <c r="D8" s="338" t="s">
        <v>13</v>
      </c>
      <c r="E8" s="338" t="s">
        <v>14</v>
      </c>
      <c r="F8" s="338" t="s">
        <v>15</v>
      </c>
      <c r="G8" s="338" t="s">
        <v>16</v>
      </c>
      <c r="H8" s="338" t="s">
        <v>17</v>
      </c>
      <c r="I8" s="338"/>
      <c r="J8" s="339" t="s">
        <v>18</v>
      </c>
      <c r="K8" s="339"/>
      <c r="L8" s="338" t="s">
        <v>19</v>
      </c>
      <c r="M8" s="338" t="s">
        <v>20</v>
      </c>
      <c r="N8" s="339" t="s">
        <v>21</v>
      </c>
      <c r="O8" s="339" t="s">
        <v>22</v>
      </c>
      <c r="P8" s="339" t="s">
        <v>23</v>
      </c>
      <c r="Q8" s="339" t="s">
        <v>24</v>
      </c>
      <c r="R8" s="339"/>
      <c r="S8" s="339" t="s">
        <v>25</v>
      </c>
      <c r="T8" s="339"/>
      <c r="U8" s="338" t="s">
        <v>26</v>
      </c>
      <c r="V8" s="339" t="s">
        <v>23</v>
      </c>
      <c r="W8" s="337"/>
      <c r="X8" s="337"/>
    </row>
    <row r="9" spans="1:24" s="9" customFormat="1" ht="17.25" customHeight="1" x14ac:dyDescent="0.3">
      <c r="A9" s="338"/>
      <c r="B9" s="338"/>
      <c r="C9" s="338"/>
      <c r="D9" s="338"/>
      <c r="E9" s="338"/>
      <c r="F9" s="338"/>
      <c r="G9" s="338"/>
      <c r="H9" s="10" t="s">
        <v>27</v>
      </c>
      <c r="I9" s="10" t="s">
        <v>28</v>
      </c>
      <c r="J9" s="10" t="s">
        <v>27</v>
      </c>
      <c r="K9" s="11" t="s">
        <v>29</v>
      </c>
      <c r="L9" s="338"/>
      <c r="M9" s="338"/>
      <c r="N9" s="339"/>
      <c r="O9" s="339"/>
      <c r="P9" s="339"/>
      <c r="Q9" s="10" t="s">
        <v>2</v>
      </c>
      <c r="R9" s="11" t="s">
        <v>30</v>
      </c>
      <c r="S9" s="10" t="s">
        <v>2</v>
      </c>
      <c r="T9" s="11" t="s">
        <v>30</v>
      </c>
      <c r="U9" s="338"/>
      <c r="V9" s="339"/>
      <c r="W9" s="337"/>
      <c r="X9" s="337"/>
    </row>
    <row r="10" spans="1:24" ht="37.5" x14ac:dyDescent="0.3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7.5" x14ac:dyDescent="0.3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3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37.5" x14ac:dyDescent="0.3">
      <c r="A13" s="34" t="s">
        <v>250</v>
      </c>
      <c r="B13" s="34" t="s">
        <v>250</v>
      </c>
      <c r="C13" s="27" t="s">
        <v>319</v>
      </c>
      <c r="D13" s="56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7.5" x14ac:dyDescent="0.3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7.5" x14ac:dyDescent="0.3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" x14ac:dyDescent="0.3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0" x14ac:dyDescent="0.3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3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" x14ac:dyDescent="0.3">
      <c r="A19" s="34" t="s">
        <v>229</v>
      </c>
      <c r="B19" s="34" t="s">
        <v>229</v>
      </c>
      <c r="C19" s="49" t="s">
        <v>80</v>
      </c>
      <c r="D19" s="56" t="s">
        <v>74</v>
      </c>
      <c r="E19" s="6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17"/>
  <sheetViews>
    <sheetView workbookViewId="0">
      <selection activeCell="D13" sqref="D13:E13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6" t="s">
        <v>0</v>
      </c>
      <c r="W5" s="336"/>
      <c r="X5" s="8">
        <v>43497</v>
      </c>
    </row>
    <row r="6" spans="1:24" ht="14" x14ac:dyDescent="0.3">
      <c r="A6" s="337" t="s">
        <v>4</v>
      </c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</row>
    <row r="7" spans="1:24" ht="14" x14ac:dyDescent="0.3">
      <c r="A7" s="337" t="s">
        <v>5</v>
      </c>
      <c r="B7" s="337"/>
      <c r="C7" s="337" t="s">
        <v>6</v>
      </c>
      <c r="D7" s="337"/>
      <c r="E7" s="337"/>
      <c r="F7" s="337" t="s">
        <v>3</v>
      </c>
      <c r="G7" s="337"/>
      <c r="H7" s="337"/>
      <c r="I7" s="337"/>
      <c r="J7" s="337"/>
      <c r="K7" s="337"/>
      <c r="L7" s="337"/>
      <c r="M7" s="337"/>
      <c r="N7" s="337" t="s">
        <v>7</v>
      </c>
      <c r="O7" s="337"/>
      <c r="P7" s="337"/>
      <c r="Q7" s="337" t="s">
        <v>1</v>
      </c>
      <c r="R7" s="337"/>
      <c r="S7" s="337"/>
      <c r="T7" s="337"/>
      <c r="U7" s="337"/>
      <c r="V7" s="337"/>
      <c r="W7" s="337" t="s">
        <v>8</v>
      </c>
      <c r="X7" s="337" t="s">
        <v>9</v>
      </c>
    </row>
    <row r="8" spans="1:24" s="9" customFormat="1" ht="14" x14ac:dyDescent="0.3">
      <c r="A8" s="338" t="s">
        <v>10</v>
      </c>
      <c r="B8" s="338" t="s">
        <v>11</v>
      </c>
      <c r="C8" s="338" t="s">
        <v>12</v>
      </c>
      <c r="D8" s="338" t="s">
        <v>13</v>
      </c>
      <c r="E8" s="338" t="s">
        <v>14</v>
      </c>
      <c r="F8" s="338" t="s">
        <v>15</v>
      </c>
      <c r="G8" s="338" t="s">
        <v>16</v>
      </c>
      <c r="H8" s="338" t="s">
        <v>17</v>
      </c>
      <c r="I8" s="338"/>
      <c r="J8" s="339" t="s">
        <v>18</v>
      </c>
      <c r="K8" s="339"/>
      <c r="L8" s="338" t="s">
        <v>19</v>
      </c>
      <c r="M8" s="338" t="s">
        <v>20</v>
      </c>
      <c r="N8" s="339" t="s">
        <v>21</v>
      </c>
      <c r="O8" s="339" t="s">
        <v>22</v>
      </c>
      <c r="P8" s="339" t="s">
        <v>23</v>
      </c>
      <c r="Q8" s="339" t="s">
        <v>24</v>
      </c>
      <c r="R8" s="339"/>
      <c r="S8" s="339" t="s">
        <v>25</v>
      </c>
      <c r="T8" s="339"/>
      <c r="U8" s="338" t="s">
        <v>26</v>
      </c>
      <c r="V8" s="339" t="s">
        <v>23</v>
      </c>
      <c r="W8" s="337"/>
      <c r="X8" s="337"/>
    </row>
    <row r="9" spans="1:24" s="9" customFormat="1" ht="17.25" customHeight="1" x14ac:dyDescent="0.3">
      <c r="A9" s="338"/>
      <c r="B9" s="338"/>
      <c r="C9" s="338"/>
      <c r="D9" s="338"/>
      <c r="E9" s="338"/>
      <c r="F9" s="338"/>
      <c r="G9" s="338"/>
      <c r="H9" s="10" t="s">
        <v>27</v>
      </c>
      <c r="I9" s="10" t="s">
        <v>28</v>
      </c>
      <c r="J9" s="10" t="s">
        <v>27</v>
      </c>
      <c r="K9" s="11" t="s">
        <v>29</v>
      </c>
      <c r="L9" s="338"/>
      <c r="M9" s="338"/>
      <c r="N9" s="339"/>
      <c r="O9" s="339"/>
      <c r="P9" s="339"/>
      <c r="Q9" s="10" t="s">
        <v>2</v>
      </c>
      <c r="R9" s="11" t="s">
        <v>30</v>
      </c>
      <c r="S9" s="10" t="s">
        <v>2</v>
      </c>
      <c r="T9" s="11" t="s">
        <v>30</v>
      </c>
      <c r="U9" s="338"/>
      <c r="V9" s="339"/>
      <c r="W9" s="337"/>
      <c r="X9" s="337"/>
    </row>
    <row r="10" spans="1:24" ht="37.5" x14ac:dyDescent="0.3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37.5" x14ac:dyDescent="0.3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3">
      <c r="A12" s="34" t="s">
        <v>250</v>
      </c>
      <c r="B12" s="34" t="s">
        <v>250</v>
      </c>
      <c r="C12" s="27" t="s">
        <v>319</v>
      </c>
      <c r="D12" s="56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" x14ac:dyDescent="0.3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37.5" x14ac:dyDescent="0.3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7.5" x14ac:dyDescent="0.3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7.5" x14ac:dyDescent="0.3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7.5" x14ac:dyDescent="0.3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19"/>
  <sheetViews>
    <sheetView workbookViewId="0">
      <selection activeCell="D13" sqref="D13:E13"/>
    </sheetView>
  </sheetViews>
  <sheetFormatPr defaultRowHeight="15" customHeight="1" x14ac:dyDescent="0.3"/>
  <cols>
    <col min="1" max="1" width="39" bestFit="1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6" t="s">
        <v>0</v>
      </c>
      <c r="W5" s="336"/>
      <c r="X5" s="8">
        <v>43525</v>
      </c>
    </row>
    <row r="6" spans="1:24" ht="14" x14ac:dyDescent="0.3">
      <c r="A6" s="337" t="s">
        <v>4</v>
      </c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</row>
    <row r="7" spans="1:24" ht="14" x14ac:dyDescent="0.3">
      <c r="A7" s="337" t="s">
        <v>5</v>
      </c>
      <c r="B7" s="337"/>
      <c r="C7" s="337" t="s">
        <v>6</v>
      </c>
      <c r="D7" s="337"/>
      <c r="E7" s="337"/>
      <c r="F7" s="337" t="s">
        <v>3</v>
      </c>
      <c r="G7" s="337"/>
      <c r="H7" s="337"/>
      <c r="I7" s="337"/>
      <c r="J7" s="337"/>
      <c r="K7" s="337"/>
      <c r="L7" s="337"/>
      <c r="M7" s="337"/>
      <c r="N7" s="337" t="s">
        <v>7</v>
      </c>
      <c r="O7" s="337"/>
      <c r="P7" s="337"/>
      <c r="Q7" s="337" t="s">
        <v>1</v>
      </c>
      <c r="R7" s="337"/>
      <c r="S7" s="337"/>
      <c r="T7" s="337"/>
      <c r="U7" s="337"/>
      <c r="V7" s="337"/>
      <c r="W7" s="337" t="s">
        <v>8</v>
      </c>
      <c r="X7" s="337" t="s">
        <v>9</v>
      </c>
    </row>
    <row r="8" spans="1:24" s="9" customFormat="1" ht="14" x14ac:dyDescent="0.3">
      <c r="A8" s="338" t="s">
        <v>10</v>
      </c>
      <c r="B8" s="338" t="s">
        <v>11</v>
      </c>
      <c r="C8" s="338" t="s">
        <v>12</v>
      </c>
      <c r="D8" s="338" t="s">
        <v>13</v>
      </c>
      <c r="E8" s="338" t="s">
        <v>14</v>
      </c>
      <c r="F8" s="338" t="s">
        <v>15</v>
      </c>
      <c r="G8" s="338" t="s">
        <v>16</v>
      </c>
      <c r="H8" s="338" t="s">
        <v>17</v>
      </c>
      <c r="I8" s="338"/>
      <c r="J8" s="339" t="s">
        <v>18</v>
      </c>
      <c r="K8" s="339"/>
      <c r="L8" s="338" t="s">
        <v>19</v>
      </c>
      <c r="M8" s="338" t="s">
        <v>20</v>
      </c>
      <c r="N8" s="339" t="s">
        <v>21</v>
      </c>
      <c r="O8" s="339" t="s">
        <v>22</v>
      </c>
      <c r="P8" s="339" t="s">
        <v>23</v>
      </c>
      <c r="Q8" s="339" t="s">
        <v>24</v>
      </c>
      <c r="R8" s="339"/>
      <c r="S8" s="339" t="s">
        <v>25</v>
      </c>
      <c r="T8" s="339"/>
      <c r="U8" s="338" t="s">
        <v>26</v>
      </c>
      <c r="V8" s="339" t="s">
        <v>23</v>
      </c>
      <c r="W8" s="337"/>
      <c r="X8" s="337"/>
    </row>
    <row r="9" spans="1:24" s="9" customFormat="1" ht="17.25" customHeight="1" x14ac:dyDescent="0.3">
      <c r="A9" s="338"/>
      <c r="B9" s="338"/>
      <c r="C9" s="338"/>
      <c r="D9" s="338"/>
      <c r="E9" s="338"/>
      <c r="F9" s="338"/>
      <c r="G9" s="338"/>
      <c r="H9" s="10" t="s">
        <v>27</v>
      </c>
      <c r="I9" s="10" t="s">
        <v>28</v>
      </c>
      <c r="J9" s="10" t="s">
        <v>27</v>
      </c>
      <c r="K9" s="11" t="s">
        <v>29</v>
      </c>
      <c r="L9" s="338"/>
      <c r="M9" s="338"/>
      <c r="N9" s="339"/>
      <c r="O9" s="339"/>
      <c r="P9" s="339"/>
      <c r="Q9" s="10" t="s">
        <v>2</v>
      </c>
      <c r="R9" s="11" t="s">
        <v>30</v>
      </c>
      <c r="S9" s="10" t="s">
        <v>2</v>
      </c>
      <c r="T9" s="11" t="s">
        <v>30</v>
      </c>
      <c r="U9" s="338"/>
      <c r="V9" s="339"/>
      <c r="W9" s="337"/>
      <c r="X9" s="337"/>
    </row>
    <row r="10" spans="1:24" ht="25" x14ac:dyDescent="0.3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62">
        <v>43544</v>
      </c>
      <c r="M10" s="62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7.5" x14ac:dyDescent="0.3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62">
        <v>43543</v>
      </c>
      <c r="M11" s="62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3">
      <c r="A12" s="34" t="s">
        <v>229</v>
      </c>
      <c r="B12" s="34" t="s">
        <v>229</v>
      </c>
      <c r="C12" s="34" t="s">
        <v>412</v>
      </c>
      <c r="D12" s="56" t="s">
        <v>74</v>
      </c>
      <c r="E12" s="6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62">
        <v>43538</v>
      </c>
      <c r="M12" s="62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" x14ac:dyDescent="0.3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62">
        <v>43542</v>
      </c>
      <c r="M13" s="62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" x14ac:dyDescent="0.3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62">
        <v>43538</v>
      </c>
      <c r="M14" s="62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7.5" x14ac:dyDescent="0.3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62">
        <v>43549</v>
      </c>
      <c r="M15" s="62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" x14ac:dyDescent="0.3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62">
        <v>43552</v>
      </c>
      <c r="M16" s="62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7.5" x14ac:dyDescent="0.3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62">
        <v>43555</v>
      </c>
      <c r="M17" s="62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" x14ac:dyDescent="0.3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62">
        <v>43555</v>
      </c>
      <c r="M18" s="62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" x14ac:dyDescent="0.3">
      <c r="A19" s="34" t="s">
        <v>250</v>
      </c>
      <c r="B19" s="34" t="s">
        <v>250</v>
      </c>
      <c r="C19" s="34" t="s">
        <v>319</v>
      </c>
      <c r="D19" s="56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62">
        <v>43555</v>
      </c>
      <c r="M19" s="62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2"/>
  <sheetViews>
    <sheetView workbookViewId="0">
      <selection activeCell="E12" sqref="E12"/>
    </sheetView>
  </sheetViews>
  <sheetFormatPr defaultRowHeight="15" customHeight="1" x14ac:dyDescent="0.3"/>
  <cols>
    <col min="1" max="1" width="8.58203125" customWidth="1"/>
    <col min="2" max="2" width="10.75" customWidth="1"/>
    <col min="3" max="3" width="44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6" t="s">
        <v>0</v>
      </c>
      <c r="W5" s="336"/>
      <c r="X5" s="8">
        <v>42948</v>
      </c>
    </row>
    <row r="6" spans="1:24" ht="14" x14ac:dyDescent="0.3">
      <c r="A6" s="337" t="s">
        <v>4</v>
      </c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</row>
    <row r="7" spans="1:24" ht="14" x14ac:dyDescent="0.3">
      <c r="A7" s="337" t="s">
        <v>5</v>
      </c>
      <c r="B7" s="337"/>
      <c r="C7" s="337" t="s">
        <v>6</v>
      </c>
      <c r="D7" s="337"/>
      <c r="E7" s="337"/>
      <c r="F7" s="337" t="s">
        <v>3</v>
      </c>
      <c r="G7" s="337"/>
      <c r="H7" s="337"/>
      <c r="I7" s="337"/>
      <c r="J7" s="337"/>
      <c r="K7" s="337"/>
      <c r="L7" s="337"/>
      <c r="M7" s="337"/>
      <c r="N7" s="337" t="s">
        <v>7</v>
      </c>
      <c r="O7" s="337"/>
      <c r="P7" s="337"/>
      <c r="Q7" s="337" t="s">
        <v>1</v>
      </c>
      <c r="R7" s="337"/>
      <c r="S7" s="337"/>
      <c r="T7" s="337"/>
      <c r="U7" s="337"/>
      <c r="V7" s="337"/>
      <c r="W7" s="337" t="s">
        <v>8</v>
      </c>
      <c r="X7" s="337" t="s">
        <v>9</v>
      </c>
    </row>
    <row r="8" spans="1:24" s="9" customFormat="1" ht="14" x14ac:dyDescent="0.3">
      <c r="A8" s="338" t="s">
        <v>10</v>
      </c>
      <c r="B8" s="338" t="s">
        <v>11</v>
      </c>
      <c r="C8" s="338" t="s">
        <v>12</v>
      </c>
      <c r="D8" s="338" t="s">
        <v>13</v>
      </c>
      <c r="E8" s="338" t="s">
        <v>14</v>
      </c>
      <c r="F8" s="338" t="s">
        <v>15</v>
      </c>
      <c r="G8" s="338" t="s">
        <v>16</v>
      </c>
      <c r="H8" s="338" t="s">
        <v>17</v>
      </c>
      <c r="I8" s="338"/>
      <c r="J8" s="339" t="s">
        <v>18</v>
      </c>
      <c r="K8" s="339"/>
      <c r="L8" s="338" t="s">
        <v>19</v>
      </c>
      <c r="M8" s="338" t="s">
        <v>20</v>
      </c>
      <c r="N8" s="339" t="s">
        <v>21</v>
      </c>
      <c r="O8" s="339" t="s">
        <v>22</v>
      </c>
      <c r="P8" s="339" t="s">
        <v>23</v>
      </c>
      <c r="Q8" s="339" t="s">
        <v>24</v>
      </c>
      <c r="R8" s="339"/>
      <c r="S8" s="339" t="s">
        <v>25</v>
      </c>
      <c r="T8" s="339"/>
      <c r="U8" s="338" t="s">
        <v>26</v>
      </c>
      <c r="V8" s="339" t="s">
        <v>23</v>
      </c>
      <c r="W8" s="337"/>
      <c r="X8" s="337"/>
    </row>
    <row r="9" spans="1:24" s="9" customFormat="1" ht="14" x14ac:dyDescent="0.3">
      <c r="A9" s="338"/>
      <c r="B9" s="338"/>
      <c r="C9" s="338"/>
      <c r="D9" s="338"/>
      <c r="E9" s="338"/>
      <c r="F9" s="338"/>
      <c r="G9" s="338"/>
      <c r="H9" s="10" t="s">
        <v>27</v>
      </c>
      <c r="I9" s="10" t="s">
        <v>28</v>
      </c>
      <c r="J9" s="10" t="s">
        <v>27</v>
      </c>
      <c r="K9" s="11" t="s">
        <v>29</v>
      </c>
      <c r="L9" s="338"/>
      <c r="M9" s="338"/>
      <c r="N9" s="339"/>
      <c r="O9" s="339"/>
      <c r="P9" s="339"/>
      <c r="Q9" s="10" t="s">
        <v>2</v>
      </c>
      <c r="R9" s="11" t="s">
        <v>30</v>
      </c>
      <c r="S9" s="10" t="s">
        <v>2</v>
      </c>
      <c r="T9" s="11" t="s">
        <v>30</v>
      </c>
      <c r="U9" s="338"/>
      <c r="V9" s="339"/>
      <c r="W9" s="337"/>
      <c r="X9" s="337"/>
    </row>
    <row r="10" spans="1:24" ht="37.5" x14ac:dyDescent="0.3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" x14ac:dyDescent="0.3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7.5" x14ac:dyDescent="0.3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7.5" x14ac:dyDescent="0.3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" x14ac:dyDescent="0.3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" x14ac:dyDescent="0.3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" x14ac:dyDescent="0.3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7.5" x14ac:dyDescent="0.3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" x14ac:dyDescent="0.3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" x14ac:dyDescent="0.3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" x14ac:dyDescent="0.3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" x14ac:dyDescent="0.3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" x14ac:dyDescent="0.3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16"/>
  <sheetViews>
    <sheetView workbookViewId="0">
      <selection activeCell="D14" sqref="D14:E14"/>
    </sheetView>
  </sheetViews>
  <sheetFormatPr defaultRowHeight="15" customHeight="1" x14ac:dyDescent="0.3"/>
  <cols>
    <col min="1" max="1" width="39" bestFit="1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6" t="s">
        <v>0</v>
      </c>
      <c r="W5" s="336"/>
      <c r="X5" s="8">
        <v>43556</v>
      </c>
    </row>
    <row r="6" spans="1:24" ht="14" x14ac:dyDescent="0.3">
      <c r="A6" s="337" t="s">
        <v>4</v>
      </c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</row>
    <row r="7" spans="1:24" ht="14" x14ac:dyDescent="0.3">
      <c r="A7" s="337" t="s">
        <v>5</v>
      </c>
      <c r="B7" s="337"/>
      <c r="C7" s="337" t="s">
        <v>6</v>
      </c>
      <c r="D7" s="337"/>
      <c r="E7" s="337"/>
      <c r="F7" s="337" t="s">
        <v>3</v>
      </c>
      <c r="G7" s="337"/>
      <c r="H7" s="337"/>
      <c r="I7" s="337"/>
      <c r="J7" s="337"/>
      <c r="K7" s="337"/>
      <c r="L7" s="337"/>
      <c r="M7" s="337"/>
      <c r="N7" s="337" t="s">
        <v>7</v>
      </c>
      <c r="O7" s="337"/>
      <c r="P7" s="337"/>
      <c r="Q7" s="337" t="s">
        <v>1</v>
      </c>
      <c r="R7" s="337"/>
      <c r="S7" s="337"/>
      <c r="T7" s="337"/>
      <c r="U7" s="337"/>
      <c r="V7" s="337"/>
      <c r="W7" s="337" t="s">
        <v>8</v>
      </c>
      <c r="X7" s="337" t="s">
        <v>9</v>
      </c>
    </row>
    <row r="8" spans="1:24" s="9" customFormat="1" ht="14" x14ac:dyDescent="0.3">
      <c r="A8" s="338" t="s">
        <v>10</v>
      </c>
      <c r="B8" s="338" t="s">
        <v>11</v>
      </c>
      <c r="C8" s="338" t="s">
        <v>12</v>
      </c>
      <c r="D8" s="338" t="s">
        <v>13</v>
      </c>
      <c r="E8" s="338" t="s">
        <v>14</v>
      </c>
      <c r="F8" s="338" t="s">
        <v>15</v>
      </c>
      <c r="G8" s="338" t="s">
        <v>16</v>
      </c>
      <c r="H8" s="338" t="s">
        <v>17</v>
      </c>
      <c r="I8" s="338"/>
      <c r="J8" s="339" t="s">
        <v>18</v>
      </c>
      <c r="K8" s="339"/>
      <c r="L8" s="338" t="s">
        <v>19</v>
      </c>
      <c r="M8" s="338" t="s">
        <v>20</v>
      </c>
      <c r="N8" s="339" t="s">
        <v>21</v>
      </c>
      <c r="O8" s="339" t="s">
        <v>22</v>
      </c>
      <c r="P8" s="339" t="s">
        <v>23</v>
      </c>
      <c r="Q8" s="339" t="s">
        <v>24</v>
      </c>
      <c r="R8" s="339"/>
      <c r="S8" s="339" t="s">
        <v>25</v>
      </c>
      <c r="T8" s="339"/>
      <c r="U8" s="338" t="s">
        <v>26</v>
      </c>
      <c r="V8" s="339" t="s">
        <v>23</v>
      </c>
      <c r="W8" s="337"/>
      <c r="X8" s="337"/>
    </row>
    <row r="9" spans="1:24" s="9" customFormat="1" ht="17.25" customHeight="1" x14ac:dyDescent="0.3">
      <c r="A9" s="338"/>
      <c r="B9" s="338"/>
      <c r="C9" s="338"/>
      <c r="D9" s="338"/>
      <c r="E9" s="338"/>
      <c r="F9" s="338"/>
      <c r="G9" s="338"/>
      <c r="H9" s="10" t="s">
        <v>27</v>
      </c>
      <c r="I9" s="10" t="s">
        <v>28</v>
      </c>
      <c r="J9" s="10" t="s">
        <v>27</v>
      </c>
      <c r="K9" s="11" t="s">
        <v>29</v>
      </c>
      <c r="L9" s="338"/>
      <c r="M9" s="338"/>
      <c r="N9" s="339"/>
      <c r="O9" s="339"/>
      <c r="P9" s="339"/>
      <c r="Q9" s="10" t="s">
        <v>2</v>
      </c>
      <c r="R9" s="11" t="s">
        <v>30</v>
      </c>
      <c r="S9" s="10" t="s">
        <v>2</v>
      </c>
      <c r="T9" s="11" t="s">
        <v>30</v>
      </c>
      <c r="U9" s="338"/>
      <c r="V9" s="339"/>
      <c r="W9" s="337"/>
      <c r="X9" s="337"/>
    </row>
    <row r="10" spans="1:24" ht="25" x14ac:dyDescent="0.3">
      <c r="A10" s="34" t="s">
        <v>250</v>
      </c>
      <c r="B10" s="34" t="s">
        <v>250</v>
      </c>
      <c r="C10" s="34" t="s">
        <v>319</v>
      </c>
      <c r="D10" s="56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62">
        <v>43583</v>
      </c>
      <c r="M10" s="62">
        <v>43584</v>
      </c>
      <c r="N10" s="63">
        <f>3836.32/2</f>
        <v>1918.16</v>
      </c>
      <c r="O10" s="63">
        <f>3836.32/2</f>
        <v>1918.16</v>
      </c>
      <c r="P10" s="63">
        <f>SUM(N10:O10)</f>
        <v>3836.32</v>
      </c>
      <c r="Q10" s="34">
        <v>2</v>
      </c>
      <c r="R10" s="63">
        <v>120</v>
      </c>
      <c r="S10" s="34">
        <v>0</v>
      </c>
      <c r="T10" s="63">
        <v>0</v>
      </c>
      <c r="U10" s="63">
        <f>(Q10*R10)+(S10*T10)</f>
        <v>240</v>
      </c>
      <c r="V10" s="63">
        <f>U10+P10</f>
        <v>4076.32</v>
      </c>
      <c r="W10" s="63">
        <f>V10</f>
        <v>4076.32</v>
      </c>
      <c r="X10" s="34"/>
    </row>
    <row r="11" spans="1:24" ht="37.5" x14ac:dyDescent="0.3">
      <c r="A11" s="34" t="s">
        <v>250</v>
      </c>
      <c r="B11" s="34" t="s">
        <v>212</v>
      </c>
      <c r="C11" s="34" t="s">
        <v>378</v>
      </c>
      <c r="D11" s="56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62">
        <v>43562</v>
      </c>
      <c r="M11" s="62">
        <v>43564</v>
      </c>
      <c r="N11" s="63">
        <v>300</v>
      </c>
      <c r="O11" s="63">
        <v>300</v>
      </c>
      <c r="P11" s="63">
        <f t="shared" ref="P11:P16" si="0">SUM(N11:O11)</f>
        <v>600</v>
      </c>
      <c r="Q11" s="34">
        <v>3</v>
      </c>
      <c r="R11" s="63">
        <v>120</v>
      </c>
      <c r="S11" s="34">
        <v>0</v>
      </c>
      <c r="T11" s="63">
        <v>0</v>
      </c>
      <c r="U11" s="63">
        <f t="shared" ref="U11:U16" si="1">(Q11*R11)+(S11*T11)</f>
        <v>360</v>
      </c>
      <c r="V11" s="63">
        <f t="shared" ref="V11:V16" si="2">U11+P11</f>
        <v>960</v>
      </c>
      <c r="W11" s="63">
        <f t="shared" ref="W11:W16" si="3">V11</f>
        <v>960</v>
      </c>
      <c r="X11" s="34"/>
    </row>
    <row r="12" spans="1:24" ht="25.5" customHeight="1" x14ac:dyDescent="0.3">
      <c r="A12" s="34" t="s">
        <v>250</v>
      </c>
      <c r="B12" s="34" t="s">
        <v>250</v>
      </c>
      <c r="C12" s="34" t="s">
        <v>319</v>
      </c>
      <c r="D12" s="56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62">
        <v>43564</v>
      </c>
      <c r="M12" s="62" t="s">
        <v>420</v>
      </c>
      <c r="N12" s="63">
        <f>2329.07/2</f>
        <v>1164.5350000000001</v>
      </c>
      <c r="O12" s="63">
        <f>2329.07/2</f>
        <v>1164.5350000000001</v>
      </c>
      <c r="P12" s="63">
        <f t="shared" si="0"/>
        <v>2329.0700000000002</v>
      </c>
      <c r="Q12" s="34">
        <v>2</v>
      </c>
      <c r="R12" s="63">
        <v>120</v>
      </c>
      <c r="S12" s="34">
        <v>0</v>
      </c>
      <c r="T12" s="63">
        <v>0</v>
      </c>
      <c r="U12" s="63">
        <f t="shared" si="1"/>
        <v>240</v>
      </c>
      <c r="V12" s="63">
        <f t="shared" si="2"/>
        <v>2569.0700000000002</v>
      </c>
      <c r="W12" s="63">
        <f t="shared" si="3"/>
        <v>2569.0700000000002</v>
      </c>
      <c r="X12" s="34"/>
    </row>
    <row r="13" spans="1:24" ht="25" x14ac:dyDescent="0.3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62">
        <v>43564</v>
      </c>
      <c r="M13" s="62" t="s">
        <v>420</v>
      </c>
      <c r="N13" s="63">
        <f>2329.08/2</f>
        <v>1164.54</v>
      </c>
      <c r="O13" s="63">
        <f>2329.08/2</f>
        <v>1164.54</v>
      </c>
      <c r="P13" s="63">
        <f t="shared" si="0"/>
        <v>2329.08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2329.08</v>
      </c>
      <c r="W13" s="63">
        <f t="shared" si="3"/>
        <v>2329.08</v>
      </c>
      <c r="X13" s="34"/>
    </row>
    <row r="14" spans="1:24" ht="25" x14ac:dyDescent="0.3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62">
        <v>43578</v>
      </c>
      <c r="M14" s="62">
        <v>43581</v>
      </c>
      <c r="N14" s="63">
        <f>719.06/2</f>
        <v>359.53</v>
      </c>
      <c r="O14" s="63">
        <f>719.06/2</f>
        <v>359.53</v>
      </c>
      <c r="P14" s="63">
        <f t="shared" si="0"/>
        <v>719.06</v>
      </c>
      <c r="Q14" s="34">
        <v>4</v>
      </c>
      <c r="R14" s="63">
        <v>120</v>
      </c>
      <c r="S14" s="34">
        <v>0</v>
      </c>
      <c r="T14" s="63">
        <v>0</v>
      </c>
      <c r="U14" s="63">
        <f t="shared" si="1"/>
        <v>480</v>
      </c>
      <c r="V14" s="63">
        <f t="shared" si="2"/>
        <v>1199.06</v>
      </c>
      <c r="W14" s="63">
        <f t="shared" si="3"/>
        <v>1199.06</v>
      </c>
      <c r="X14" s="34"/>
    </row>
    <row r="15" spans="1:24" ht="25" x14ac:dyDescent="0.3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62">
        <v>43579</v>
      </c>
      <c r="M15" s="62">
        <v>43580</v>
      </c>
      <c r="N15" s="63">
        <f>2110.22/2</f>
        <v>1055.1099999999999</v>
      </c>
      <c r="O15" s="63">
        <f>2110.22/2</f>
        <v>1055.1099999999999</v>
      </c>
      <c r="P15" s="63">
        <f t="shared" si="0"/>
        <v>2110.2199999999998</v>
      </c>
      <c r="Q15" s="34">
        <v>4</v>
      </c>
      <c r="R15" s="63">
        <v>120</v>
      </c>
      <c r="S15" s="34">
        <v>0</v>
      </c>
      <c r="T15" s="63">
        <v>0</v>
      </c>
      <c r="U15" s="63">
        <f t="shared" si="1"/>
        <v>480</v>
      </c>
      <c r="V15" s="63">
        <f t="shared" si="2"/>
        <v>2590.2199999999998</v>
      </c>
      <c r="W15" s="63">
        <f t="shared" si="3"/>
        <v>2590.2199999999998</v>
      </c>
      <c r="X15" s="34"/>
    </row>
    <row r="16" spans="1:24" ht="25" x14ac:dyDescent="0.3">
      <c r="A16" s="34" t="s">
        <v>250</v>
      </c>
      <c r="B16" s="34" t="s">
        <v>250</v>
      </c>
      <c r="C16" s="34" t="s">
        <v>319</v>
      </c>
      <c r="D16" s="56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62">
        <v>43583</v>
      </c>
      <c r="M16" s="62">
        <v>43584</v>
      </c>
      <c r="N16" s="63">
        <f>3836.32/2</f>
        <v>1918.16</v>
      </c>
      <c r="O16" s="63">
        <f>3836.32/2</f>
        <v>1918.16</v>
      </c>
      <c r="P16" s="63">
        <f t="shared" si="0"/>
        <v>3836.32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4076.32</v>
      </c>
      <c r="W16" s="63">
        <f t="shared" si="3"/>
        <v>4076.32</v>
      </c>
      <c r="X16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22"/>
  <sheetViews>
    <sheetView workbookViewId="0">
      <selection activeCell="D5" sqref="D5:E6"/>
    </sheetView>
  </sheetViews>
  <sheetFormatPr defaultRowHeight="15" customHeight="1" x14ac:dyDescent="0.3"/>
  <cols>
    <col min="1" max="1" width="39" bestFit="1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6" t="s">
        <v>0</v>
      </c>
      <c r="W5" s="336"/>
      <c r="X5" s="8">
        <v>43586</v>
      </c>
    </row>
    <row r="6" spans="1:24" ht="14" x14ac:dyDescent="0.3">
      <c r="A6" s="337" t="s">
        <v>4</v>
      </c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</row>
    <row r="7" spans="1:24" ht="14" x14ac:dyDescent="0.3">
      <c r="A7" s="337" t="s">
        <v>5</v>
      </c>
      <c r="B7" s="337"/>
      <c r="C7" s="337" t="s">
        <v>6</v>
      </c>
      <c r="D7" s="337"/>
      <c r="E7" s="337"/>
      <c r="F7" s="337" t="s">
        <v>3</v>
      </c>
      <c r="G7" s="337"/>
      <c r="H7" s="337"/>
      <c r="I7" s="337"/>
      <c r="J7" s="337"/>
      <c r="K7" s="337"/>
      <c r="L7" s="337"/>
      <c r="M7" s="337"/>
      <c r="N7" s="337" t="s">
        <v>7</v>
      </c>
      <c r="O7" s="337"/>
      <c r="P7" s="337"/>
      <c r="Q7" s="337" t="s">
        <v>1</v>
      </c>
      <c r="R7" s="337"/>
      <c r="S7" s="337"/>
      <c r="T7" s="337"/>
      <c r="U7" s="337"/>
      <c r="V7" s="337"/>
      <c r="W7" s="337" t="s">
        <v>8</v>
      </c>
      <c r="X7" s="337" t="s">
        <v>9</v>
      </c>
    </row>
    <row r="8" spans="1:24" s="9" customFormat="1" ht="14" x14ac:dyDescent="0.3">
      <c r="A8" s="338" t="s">
        <v>10</v>
      </c>
      <c r="B8" s="338" t="s">
        <v>11</v>
      </c>
      <c r="C8" s="338" t="s">
        <v>12</v>
      </c>
      <c r="D8" s="338" t="s">
        <v>13</v>
      </c>
      <c r="E8" s="338" t="s">
        <v>14</v>
      </c>
      <c r="F8" s="338" t="s">
        <v>15</v>
      </c>
      <c r="G8" s="338" t="s">
        <v>16</v>
      </c>
      <c r="H8" s="338" t="s">
        <v>17</v>
      </c>
      <c r="I8" s="338"/>
      <c r="J8" s="339" t="s">
        <v>18</v>
      </c>
      <c r="K8" s="339"/>
      <c r="L8" s="338" t="s">
        <v>19</v>
      </c>
      <c r="M8" s="338" t="s">
        <v>20</v>
      </c>
      <c r="N8" s="339" t="s">
        <v>21</v>
      </c>
      <c r="O8" s="339" t="s">
        <v>22</v>
      </c>
      <c r="P8" s="339" t="s">
        <v>23</v>
      </c>
      <c r="Q8" s="339" t="s">
        <v>24</v>
      </c>
      <c r="R8" s="339"/>
      <c r="S8" s="339" t="s">
        <v>25</v>
      </c>
      <c r="T8" s="339"/>
      <c r="U8" s="338" t="s">
        <v>26</v>
      </c>
      <c r="V8" s="339" t="s">
        <v>23</v>
      </c>
      <c r="W8" s="337"/>
      <c r="X8" s="337"/>
    </row>
    <row r="9" spans="1:24" s="9" customFormat="1" ht="17.25" customHeight="1" x14ac:dyDescent="0.3">
      <c r="A9" s="338"/>
      <c r="B9" s="338"/>
      <c r="C9" s="338"/>
      <c r="D9" s="338"/>
      <c r="E9" s="338"/>
      <c r="F9" s="338"/>
      <c r="G9" s="338"/>
      <c r="H9" s="10" t="s">
        <v>27</v>
      </c>
      <c r="I9" s="10" t="s">
        <v>28</v>
      </c>
      <c r="J9" s="10" t="s">
        <v>27</v>
      </c>
      <c r="K9" s="11" t="s">
        <v>29</v>
      </c>
      <c r="L9" s="338"/>
      <c r="M9" s="338"/>
      <c r="N9" s="339"/>
      <c r="O9" s="339"/>
      <c r="P9" s="339"/>
      <c r="Q9" s="10" t="s">
        <v>2</v>
      </c>
      <c r="R9" s="11" t="s">
        <v>30</v>
      </c>
      <c r="S9" s="10" t="s">
        <v>2</v>
      </c>
      <c r="T9" s="11" t="s">
        <v>30</v>
      </c>
      <c r="U9" s="338"/>
      <c r="V9" s="339"/>
      <c r="W9" s="337"/>
      <c r="X9" s="337"/>
    </row>
    <row r="10" spans="1:24" ht="25" x14ac:dyDescent="0.3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62">
        <v>43611</v>
      </c>
      <c r="M10" s="62">
        <v>43614</v>
      </c>
      <c r="N10" s="63">
        <f>2265.52/2</f>
        <v>1132.76</v>
      </c>
      <c r="O10" s="63">
        <f>2265.52/2</f>
        <v>1132.76</v>
      </c>
      <c r="P10" s="63">
        <f>SUM(N10:O10)</f>
        <v>2265.52</v>
      </c>
      <c r="Q10" s="34">
        <v>8</v>
      </c>
      <c r="R10" s="63">
        <v>120</v>
      </c>
      <c r="S10" s="34">
        <v>0</v>
      </c>
      <c r="T10" s="63">
        <v>0</v>
      </c>
      <c r="U10" s="63">
        <f>(Q10*R10)+(S10*T10)</f>
        <v>960</v>
      </c>
      <c r="V10" s="63">
        <f>U10+P10</f>
        <v>3225.52</v>
      </c>
      <c r="W10" s="63">
        <f>V10</f>
        <v>3225.52</v>
      </c>
      <c r="X10" s="34"/>
    </row>
    <row r="11" spans="1:24" ht="25" x14ac:dyDescent="0.3">
      <c r="A11" s="34" t="s">
        <v>229</v>
      </c>
      <c r="B11" s="34" t="s">
        <v>214</v>
      </c>
      <c r="C11" s="34" t="s">
        <v>58</v>
      </c>
      <c r="D11" s="5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62">
        <v>43591</v>
      </c>
      <c r="M11" s="62">
        <v>43592</v>
      </c>
      <c r="N11" s="63">
        <f>2280.83/2</f>
        <v>1140.415</v>
      </c>
      <c r="O11" s="63">
        <f>2280.83/2</f>
        <v>1140.415</v>
      </c>
      <c r="P11" s="63">
        <f t="shared" ref="P11:P22" si="0">SUM(N11:O11)</f>
        <v>2280.83</v>
      </c>
      <c r="Q11" s="34">
        <v>4</v>
      </c>
      <c r="R11" s="63">
        <v>120</v>
      </c>
      <c r="S11" s="34">
        <v>0</v>
      </c>
      <c r="T11" s="63">
        <v>0</v>
      </c>
      <c r="U11" s="63">
        <f t="shared" ref="U11:U22" si="1">(Q11*R11)+(S11*T11)</f>
        <v>480</v>
      </c>
      <c r="V11" s="63">
        <f t="shared" ref="V11:V22" si="2">U11+P11</f>
        <v>2760.83</v>
      </c>
      <c r="W11" s="63">
        <f t="shared" ref="W11:W22" si="3">V11</f>
        <v>2760.83</v>
      </c>
      <c r="X11" s="34"/>
    </row>
    <row r="12" spans="1:24" ht="25.5" customHeight="1" x14ac:dyDescent="0.3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62">
        <v>43591</v>
      </c>
      <c r="M12" s="62">
        <v>43591</v>
      </c>
      <c r="N12" s="63">
        <f>2151.98/2</f>
        <v>1075.99</v>
      </c>
      <c r="O12" s="63">
        <f>2151.98/2</f>
        <v>1075.99</v>
      </c>
      <c r="P12" s="63">
        <f t="shared" si="0"/>
        <v>2151.98</v>
      </c>
      <c r="Q12" s="34">
        <v>0</v>
      </c>
      <c r="R12" s="63">
        <v>0</v>
      </c>
      <c r="S12" s="34">
        <v>0</v>
      </c>
      <c r="T12" s="63">
        <v>0</v>
      </c>
      <c r="U12" s="63">
        <f t="shared" si="1"/>
        <v>0</v>
      </c>
      <c r="V12" s="63">
        <f t="shared" si="2"/>
        <v>2151.98</v>
      </c>
      <c r="W12" s="63">
        <f t="shared" si="3"/>
        <v>2151.98</v>
      </c>
      <c r="X12" s="34"/>
    </row>
    <row r="13" spans="1:24" ht="25" x14ac:dyDescent="0.3">
      <c r="A13" s="34" t="s">
        <v>250</v>
      </c>
      <c r="B13" s="34" t="s">
        <v>250</v>
      </c>
      <c r="C13" s="34" t="s">
        <v>319</v>
      </c>
      <c r="D13" s="56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62">
        <v>43588</v>
      </c>
      <c r="M13" s="62">
        <v>43591</v>
      </c>
      <c r="N13" s="63">
        <f>2215.78/2</f>
        <v>1107.8900000000001</v>
      </c>
      <c r="O13" s="63">
        <f>2215.78/2</f>
        <v>1107.8900000000001</v>
      </c>
      <c r="P13" s="63">
        <f t="shared" si="0"/>
        <v>2215.7800000000002</v>
      </c>
      <c r="Q13" s="34">
        <v>1</v>
      </c>
      <c r="R13" s="63">
        <v>120</v>
      </c>
      <c r="S13" s="34">
        <v>0</v>
      </c>
      <c r="T13" s="63">
        <v>0</v>
      </c>
      <c r="U13" s="63">
        <f t="shared" si="1"/>
        <v>120</v>
      </c>
      <c r="V13" s="63">
        <f t="shared" si="2"/>
        <v>2335.7800000000002</v>
      </c>
      <c r="W13" s="63">
        <f t="shared" si="3"/>
        <v>2335.7800000000002</v>
      </c>
      <c r="X13" s="34"/>
    </row>
    <row r="14" spans="1:24" ht="26.25" customHeight="1" x14ac:dyDescent="0.3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62">
        <v>43605</v>
      </c>
      <c r="M14" s="62" t="s">
        <v>430</v>
      </c>
      <c r="N14" s="63">
        <f>3074.44/2</f>
        <v>1537.22</v>
      </c>
      <c r="O14" s="63">
        <f>3074.44/2</f>
        <v>1537.22</v>
      </c>
      <c r="P14" s="63">
        <f t="shared" si="0"/>
        <v>3074.44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3074.44</v>
      </c>
      <c r="W14" s="63">
        <f t="shared" si="3"/>
        <v>3074.44</v>
      </c>
      <c r="X14" s="34"/>
    </row>
    <row r="15" spans="1:24" ht="50" x14ac:dyDescent="0.3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62">
        <v>43606</v>
      </c>
      <c r="M15" s="62">
        <v>43608</v>
      </c>
      <c r="N15" s="63">
        <f>2076.08/2</f>
        <v>1038.04</v>
      </c>
      <c r="O15" s="63">
        <f>2076.08/2</f>
        <v>1038.04</v>
      </c>
      <c r="P15" s="63">
        <f t="shared" si="0"/>
        <v>2076.08</v>
      </c>
      <c r="Q15" s="34">
        <v>3</v>
      </c>
      <c r="R15" s="63">
        <v>120</v>
      </c>
      <c r="S15" s="34">
        <v>0</v>
      </c>
      <c r="T15" s="63">
        <v>0</v>
      </c>
      <c r="U15" s="63">
        <f t="shared" si="1"/>
        <v>360</v>
      </c>
      <c r="V15" s="63">
        <f t="shared" si="2"/>
        <v>2436.08</v>
      </c>
      <c r="W15" s="63">
        <f t="shared" si="3"/>
        <v>2436.08</v>
      </c>
      <c r="X15" s="34"/>
    </row>
    <row r="16" spans="1:24" ht="37.5" x14ac:dyDescent="0.3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62">
        <v>43601</v>
      </c>
      <c r="M16" s="62">
        <v>43602</v>
      </c>
      <c r="N16" s="63">
        <f>2186.59/2</f>
        <v>1093.2950000000001</v>
      </c>
      <c r="O16" s="63">
        <f>2186.59/2</f>
        <v>1093.2950000000001</v>
      </c>
      <c r="P16" s="63">
        <f t="shared" si="0"/>
        <v>2186.59</v>
      </c>
      <c r="Q16" s="34">
        <v>0</v>
      </c>
      <c r="R16" s="63">
        <v>0</v>
      </c>
      <c r="S16" s="34">
        <v>0</v>
      </c>
      <c r="T16" s="63">
        <v>0</v>
      </c>
      <c r="U16" s="63">
        <f t="shared" si="1"/>
        <v>0</v>
      </c>
      <c r="V16" s="63">
        <f t="shared" si="2"/>
        <v>2186.59</v>
      </c>
      <c r="W16" s="63">
        <f t="shared" si="3"/>
        <v>2186.59</v>
      </c>
      <c r="X16" s="34"/>
    </row>
    <row r="17" spans="1:24" ht="25" x14ac:dyDescent="0.3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62">
        <v>43601</v>
      </c>
      <c r="M17" s="62">
        <v>43603</v>
      </c>
      <c r="N17" s="63">
        <f>2670.36/2</f>
        <v>1335.18</v>
      </c>
      <c r="O17" s="63">
        <f>2670.36/2</f>
        <v>1335.18</v>
      </c>
      <c r="P17" s="63">
        <f t="shared" si="0"/>
        <v>2670.36</v>
      </c>
      <c r="Q17" s="34">
        <v>0</v>
      </c>
      <c r="R17" s="63">
        <v>0</v>
      </c>
      <c r="S17" s="34">
        <v>0</v>
      </c>
      <c r="T17" s="63">
        <v>0</v>
      </c>
      <c r="U17" s="63">
        <f t="shared" si="1"/>
        <v>0</v>
      </c>
      <c r="V17" s="63">
        <f t="shared" si="2"/>
        <v>2670.36</v>
      </c>
      <c r="W17" s="63">
        <f t="shared" si="3"/>
        <v>2670.36</v>
      </c>
      <c r="X17" s="34"/>
    </row>
    <row r="18" spans="1:24" ht="37.5" x14ac:dyDescent="0.3">
      <c r="A18" s="34" t="s">
        <v>229</v>
      </c>
      <c r="B18" s="34" t="s">
        <v>302</v>
      </c>
      <c r="C18" s="34" t="s">
        <v>436</v>
      </c>
      <c r="D18" s="56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62">
        <v>43611</v>
      </c>
      <c r="M18" s="62">
        <v>43613</v>
      </c>
      <c r="N18" s="63">
        <f>2291.13/2</f>
        <v>1145.5650000000001</v>
      </c>
      <c r="O18" s="63">
        <f>2291.13/2</f>
        <v>1145.5650000000001</v>
      </c>
      <c r="P18" s="63">
        <f t="shared" si="0"/>
        <v>2291.13</v>
      </c>
      <c r="Q18" s="34">
        <v>3</v>
      </c>
      <c r="R18" s="63">
        <v>120</v>
      </c>
      <c r="S18" s="34">
        <v>0</v>
      </c>
      <c r="T18" s="63">
        <v>0</v>
      </c>
      <c r="U18" s="63">
        <f t="shared" si="1"/>
        <v>360</v>
      </c>
      <c r="V18" s="63">
        <f t="shared" si="2"/>
        <v>2651.13</v>
      </c>
      <c r="W18" s="63">
        <f t="shared" si="3"/>
        <v>2651.13</v>
      </c>
      <c r="X18" s="34"/>
    </row>
    <row r="19" spans="1:24" ht="37.5" x14ac:dyDescent="0.3">
      <c r="A19" s="34" t="s">
        <v>229</v>
      </c>
      <c r="B19" s="34" t="s">
        <v>302</v>
      </c>
      <c r="C19" s="34" t="s">
        <v>437</v>
      </c>
      <c r="D19" s="56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62">
        <v>43611</v>
      </c>
      <c r="M19" s="62">
        <v>43613</v>
      </c>
      <c r="N19" s="63">
        <f>2291.13/2</f>
        <v>1145.5650000000001</v>
      </c>
      <c r="O19" s="63">
        <f>2291.13/2</f>
        <v>1145.5650000000001</v>
      </c>
      <c r="P19" s="63">
        <f t="shared" si="0"/>
        <v>2291.13</v>
      </c>
      <c r="Q19" s="34">
        <v>3</v>
      </c>
      <c r="R19" s="63">
        <v>120</v>
      </c>
      <c r="S19" s="34">
        <v>0</v>
      </c>
      <c r="T19" s="63">
        <v>0</v>
      </c>
      <c r="U19" s="63">
        <f t="shared" si="1"/>
        <v>360</v>
      </c>
      <c r="V19" s="63">
        <f t="shared" si="2"/>
        <v>2651.13</v>
      </c>
      <c r="W19" s="63">
        <f t="shared" si="3"/>
        <v>2651.13</v>
      </c>
      <c r="X19" s="34"/>
    </row>
    <row r="20" spans="1:24" ht="25" x14ac:dyDescent="0.3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62">
        <v>43597</v>
      </c>
      <c r="M20" s="62">
        <v>43600</v>
      </c>
      <c r="N20" s="63">
        <f>2110.77/2</f>
        <v>1055.385</v>
      </c>
      <c r="O20" s="63">
        <f>2110.77/2</f>
        <v>1055.385</v>
      </c>
      <c r="P20" s="63">
        <f t="shared" si="0"/>
        <v>2110.77</v>
      </c>
      <c r="Q20" s="34">
        <v>3</v>
      </c>
      <c r="R20" s="63">
        <v>120</v>
      </c>
      <c r="S20" s="34">
        <v>0</v>
      </c>
      <c r="T20" s="63">
        <v>0</v>
      </c>
      <c r="U20" s="63">
        <f t="shared" si="1"/>
        <v>360</v>
      </c>
      <c r="V20" s="63">
        <f t="shared" si="2"/>
        <v>2470.77</v>
      </c>
      <c r="W20" s="63">
        <f t="shared" si="3"/>
        <v>2470.77</v>
      </c>
      <c r="X20" s="34"/>
    </row>
    <row r="21" spans="1:24" ht="37.5" x14ac:dyDescent="0.3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62">
        <v>43600</v>
      </c>
      <c r="M21" s="62">
        <v>43602</v>
      </c>
      <c r="N21" s="63">
        <f>928.38/2</f>
        <v>464.19</v>
      </c>
      <c r="O21" s="63">
        <f>928.38/2</f>
        <v>464.19</v>
      </c>
      <c r="P21" s="63">
        <f t="shared" si="0"/>
        <v>928.38</v>
      </c>
      <c r="Q21" s="34">
        <v>6</v>
      </c>
      <c r="R21" s="63">
        <v>120</v>
      </c>
      <c r="S21" s="34">
        <v>0</v>
      </c>
      <c r="T21" s="63">
        <v>0</v>
      </c>
      <c r="U21" s="63">
        <f t="shared" si="1"/>
        <v>720</v>
      </c>
      <c r="V21" s="63">
        <f t="shared" si="2"/>
        <v>1648.38</v>
      </c>
      <c r="W21" s="63">
        <f t="shared" si="3"/>
        <v>1648.38</v>
      </c>
      <c r="X21" s="34"/>
    </row>
    <row r="22" spans="1:24" ht="25" x14ac:dyDescent="0.3">
      <c r="A22" s="34" t="s">
        <v>250</v>
      </c>
      <c r="B22" s="34" t="s">
        <v>212</v>
      </c>
      <c r="C22" s="34" t="s">
        <v>378</v>
      </c>
      <c r="D22" s="56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62">
        <v>43588</v>
      </c>
      <c r="M22" s="62">
        <v>43591</v>
      </c>
      <c r="N22" s="63">
        <f>2215.77/2</f>
        <v>1107.885</v>
      </c>
      <c r="O22" s="63">
        <f>2215.77/2</f>
        <v>1107.885</v>
      </c>
      <c r="P22" s="63">
        <f t="shared" si="0"/>
        <v>2215.77</v>
      </c>
      <c r="Q22" s="34">
        <v>1</v>
      </c>
      <c r="R22" s="63">
        <v>120</v>
      </c>
      <c r="S22" s="34">
        <v>0</v>
      </c>
      <c r="T22" s="63">
        <v>0</v>
      </c>
      <c r="U22" s="63">
        <f t="shared" si="1"/>
        <v>120</v>
      </c>
      <c r="V22" s="63">
        <f t="shared" si="2"/>
        <v>2335.77</v>
      </c>
      <c r="W22" s="63">
        <f t="shared" si="3"/>
        <v>2335.77</v>
      </c>
      <c r="X22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X29"/>
  <sheetViews>
    <sheetView topLeftCell="A6" workbookViewId="0">
      <selection activeCell="D5" sqref="D5:E6"/>
    </sheetView>
  </sheetViews>
  <sheetFormatPr defaultRowHeight="15" customHeight="1" x14ac:dyDescent="0.3"/>
  <cols>
    <col min="1" max="1" width="35.8320312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4.33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6" t="s">
        <v>0</v>
      </c>
      <c r="W5" s="336"/>
      <c r="X5" s="8">
        <v>43617</v>
      </c>
    </row>
    <row r="6" spans="1:24" ht="14" x14ac:dyDescent="0.3">
      <c r="A6" s="337" t="s">
        <v>4</v>
      </c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</row>
    <row r="7" spans="1:24" ht="14" x14ac:dyDescent="0.3">
      <c r="A7" s="337" t="s">
        <v>5</v>
      </c>
      <c r="B7" s="337"/>
      <c r="C7" s="337" t="s">
        <v>6</v>
      </c>
      <c r="D7" s="337"/>
      <c r="E7" s="337"/>
      <c r="F7" s="337" t="s">
        <v>3</v>
      </c>
      <c r="G7" s="337"/>
      <c r="H7" s="337"/>
      <c r="I7" s="337"/>
      <c r="J7" s="337"/>
      <c r="K7" s="337"/>
      <c r="L7" s="337"/>
      <c r="M7" s="337"/>
      <c r="N7" s="337" t="s">
        <v>7</v>
      </c>
      <c r="O7" s="337"/>
      <c r="P7" s="337"/>
      <c r="Q7" s="337" t="s">
        <v>1</v>
      </c>
      <c r="R7" s="337"/>
      <c r="S7" s="337"/>
      <c r="T7" s="337"/>
      <c r="U7" s="337"/>
      <c r="V7" s="337"/>
      <c r="W7" s="337" t="s">
        <v>8</v>
      </c>
      <c r="X7" s="337" t="s">
        <v>9</v>
      </c>
    </row>
    <row r="8" spans="1:24" s="9" customFormat="1" ht="14" x14ac:dyDescent="0.3">
      <c r="A8" s="338" t="s">
        <v>10</v>
      </c>
      <c r="B8" s="338" t="s">
        <v>11</v>
      </c>
      <c r="C8" s="338" t="s">
        <v>12</v>
      </c>
      <c r="D8" s="338" t="s">
        <v>13</v>
      </c>
      <c r="E8" s="338" t="s">
        <v>14</v>
      </c>
      <c r="F8" s="338" t="s">
        <v>15</v>
      </c>
      <c r="G8" s="338" t="s">
        <v>16</v>
      </c>
      <c r="H8" s="338" t="s">
        <v>17</v>
      </c>
      <c r="I8" s="338"/>
      <c r="J8" s="339" t="s">
        <v>18</v>
      </c>
      <c r="K8" s="339"/>
      <c r="L8" s="338" t="s">
        <v>19</v>
      </c>
      <c r="M8" s="338" t="s">
        <v>20</v>
      </c>
      <c r="N8" s="339" t="s">
        <v>21</v>
      </c>
      <c r="O8" s="339" t="s">
        <v>22</v>
      </c>
      <c r="P8" s="339" t="s">
        <v>23</v>
      </c>
      <c r="Q8" s="339" t="s">
        <v>24</v>
      </c>
      <c r="R8" s="339"/>
      <c r="S8" s="339" t="s">
        <v>25</v>
      </c>
      <c r="T8" s="339"/>
      <c r="U8" s="338" t="s">
        <v>26</v>
      </c>
      <c r="V8" s="339" t="s">
        <v>23</v>
      </c>
      <c r="W8" s="337"/>
      <c r="X8" s="337"/>
    </row>
    <row r="9" spans="1:24" s="9" customFormat="1" ht="17.25" customHeight="1" x14ac:dyDescent="0.3">
      <c r="A9" s="338"/>
      <c r="B9" s="338"/>
      <c r="C9" s="338"/>
      <c r="D9" s="338"/>
      <c r="E9" s="338"/>
      <c r="F9" s="338"/>
      <c r="G9" s="338"/>
      <c r="H9" s="10" t="s">
        <v>27</v>
      </c>
      <c r="I9" s="10" t="s">
        <v>28</v>
      </c>
      <c r="J9" s="10" t="s">
        <v>27</v>
      </c>
      <c r="K9" s="11" t="s">
        <v>29</v>
      </c>
      <c r="L9" s="338"/>
      <c r="M9" s="338"/>
      <c r="N9" s="339"/>
      <c r="O9" s="339"/>
      <c r="P9" s="339"/>
      <c r="Q9" s="10" t="s">
        <v>2</v>
      </c>
      <c r="R9" s="11" t="s">
        <v>30</v>
      </c>
      <c r="S9" s="10" t="s">
        <v>2</v>
      </c>
      <c r="T9" s="11" t="s">
        <v>30</v>
      </c>
      <c r="U9" s="338"/>
      <c r="V9" s="339"/>
      <c r="W9" s="337"/>
      <c r="X9" s="337"/>
    </row>
    <row r="10" spans="1:24" ht="25" x14ac:dyDescent="0.3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62">
        <v>43620</v>
      </c>
      <c r="M10" s="62">
        <v>43622</v>
      </c>
      <c r="N10" s="63">
        <f>432/2</f>
        <v>216</v>
      </c>
      <c r="O10" s="63">
        <f>432/2</f>
        <v>216</v>
      </c>
      <c r="P10" s="63">
        <f>SUM(N10:O10)</f>
        <v>432</v>
      </c>
      <c r="Q10" s="34">
        <v>3</v>
      </c>
      <c r="R10" s="63">
        <v>120</v>
      </c>
      <c r="S10" s="34">
        <v>0</v>
      </c>
      <c r="T10" s="63">
        <v>0</v>
      </c>
      <c r="U10" s="63">
        <f>(Q10*R10)+(S10*T10)</f>
        <v>360</v>
      </c>
      <c r="V10" s="63">
        <f>U10+P10</f>
        <v>792</v>
      </c>
      <c r="W10" s="63">
        <f>V10</f>
        <v>792</v>
      </c>
      <c r="X10" s="34"/>
    </row>
    <row r="11" spans="1:24" ht="25" x14ac:dyDescent="0.3">
      <c r="A11" s="34" t="s">
        <v>250</v>
      </c>
      <c r="B11" s="34" t="s">
        <v>250</v>
      </c>
      <c r="C11" s="34" t="s">
        <v>223</v>
      </c>
      <c r="D11" s="56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62">
        <v>43621</v>
      </c>
      <c r="M11" s="62">
        <v>43623</v>
      </c>
      <c r="N11" s="63">
        <f>1751.21/2</f>
        <v>875.60500000000002</v>
      </c>
      <c r="O11" s="63">
        <f>1751.21/2</f>
        <v>875.60500000000002</v>
      </c>
      <c r="P11" s="63">
        <f t="shared" ref="P11:P20" si="0">SUM(N11:O11)</f>
        <v>1751.21</v>
      </c>
      <c r="Q11" s="34">
        <v>0</v>
      </c>
      <c r="R11" s="63">
        <v>0</v>
      </c>
      <c r="S11" s="34">
        <v>0</v>
      </c>
      <c r="T11" s="63">
        <v>0</v>
      </c>
      <c r="U11" s="63">
        <f t="shared" ref="U11:U20" si="1">(Q11*R11)+(S11*T11)</f>
        <v>0</v>
      </c>
      <c r="V11" s="63">
        <f t="shared" ref="V11:V20" si="2">U11+P11</f>
        <v>1751.21</v>
      </c>
      <c r="W11" s="63">
        <f t="shared" ref="W11:W21" si="3">V11</f>
        <v>1751.21</v>
      </c>
      <c r="X11" s="34"/>
    </row>
    <row r="12" spans="1:24" ht="25.5" customHeight="1" x14ac:dyDescent="0.3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62">
        <v>43620</v>
      </c>
      <c r="M12" s="62">
        <v>43621</v>
      </c>
      <c r="N12" s="63">
        <f>1900.67/2</f>
        <v>950.33500000000004</v>
      </c>
      <c r="O12" s="63">
        <f>1900.67/2</f>
        <v>950.33500000000004</v>
      </c>
      <c r="P12" s="63">
        <f t="shared" si="0"/>
        <v>1900.67</v>
      </c>
      <c r="Q12" s="34"/>
      <c r="R12" s="63"/>
      <c r="S12" s="34"/>
      <c r="T12" s="63"/>
      <c r="U12" s="63">
        <f t="shared" si="1"/>
        <v>0</v>
      </c>
      <c r="V12" s="63">
        <f t="shared" si="2"/>
        <v>1900.67</v>
      </c>
      <c r="W12" s="63">
        <f t="shared" si="3"/>
        <v>1900.67</v>
      </c>
      <c r="X12" s="34"/>
    </row>
    <row r="13" spans="1:24" ht="25" x14ac:dyDescent="0.3">
      <c r="A13" s="34" t="s">
        <v>229</v>
      </c>
      <c r="B13" s="34" t="s">
        <v>449</v>
      </c>
      <c r="C13" s="34" t="s">
        <v>448</v>
      </c>
      <c r="D13" s="56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62">
        <v>43628</v>
      </c>
      <c r="M13" s="62">
        <v>43629</v>
      </c>
      <c r="N13" s="63">
        <f>1928.98/2</f>
        <v>964.49</v>
      </c>
      <c r="O13" s="63">
        <f>1928.98/2</f>
        <v>964.49</v>
      </c>
      <c r="P13" s="63">
        <f t="shared" si="0"/>
        <v>1928.98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1928.98</v>
      </c>
      <c r="W13" s="63">
        <f t="shared" si="3"/>
        <v>1928.98</v>
      </c>
      <c r="X13" s="34"/>
    </row>
    <row r="14" spans="1:24" ht="26.25" customHeight="1" x14ac:dyDescent="0.3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62">
        <v>43628</v>
      </c>
      <c r="M14" s="62">
        <v>43629</v>
      </c>
      <c r="N14" s="63">
        <f>1928.98/2</f>
        <v>964.49</v>
      </c>
      <c r="O14" s="63">
        <f>1928.98/2</f>
        <v>964.49</v>
      </c>
      <c r="P14" s="63">
        <f t="shared" si="0"/>
        <v>1928.98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1928.98</v>
      </c>
      <c r="W14" s="63">
        <f t="shared" si="3"/>
        <v>1928.98</v>
      </c>
      <c r="X14" s="34"/>
    </row>
    <row r="15" spans="1:24" ht="25" x14ac:dyDescent="0.3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62">
        <v>43627</v>
      </c>
      <c r="M15" s="62">
        <v>43628</v>
      </c>
      <c r="N15" s="63">
        <f>1211.62/2</f>
        <v>605.80999999999995</v>
      </c>
      <c r="O15" s="63">
        <f>1211.62/2</f>
        <v>605.80999999999995</v>
      </c>
      <c r="P15" s="63">
        <f t="shared" si="0"/>
        <v>1211.6199999999999</v>
      </c>
      <c r="Q15" s="34">
        <v>0</v>
      </c>
      <c r="R15" s="63">
        <v>0</v>
      </c>
      <c r="S15" s="34">
        <v>0</v>
      </c>
      <c r="T15" s="63">
        <v>0</v>
      </c>
      <c r="U15" s="63">
        <f t="shared" si="1"/>
        <v>0</v>
      </c>
      <c r="V15" s="63">
        <f t="shared" si="2"/>
        <v>1211.6199999999999</v>
      </c>
      <c r="W15" s="63">
        <f t="shared" si="3"/>
        <v>1211.6199999999999</v>
      </c>
      <c r="X15" s="34"/>
    </row>
    <row r="16" spans="1:24" ht="25" x14ac:dyDescent="0.3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62">
        <v>43627</v>
      </c>
      <c r="M16" s="62">
        <v>43628</v>
      </c>
      <c r="N16" s="63">
        <f>1414.41/2</f>
        <v>707.20500000000004</v>
      </c>
      <c r="O16" s="63">
        <f>1414.41/2</f>
        <v>707.20500000000004</v>
      </c>
      <c r="P16" s="63">
        <f t="shared" si="0"/>
        <v>1414.41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1654.41</v>
      </c>
      <c r="W16" s="63">
        <f t="shared" si="3"/>
        <v>1654.41</v>
      </c>
      <c r="X16" s="34"/>
    </row>
    <row r="17" spans="1:24" ht="22.5" customHeight="1" x14ac:dyDescent="0.3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62">
        <v>43627</v>
      </c>
      <c r="M17" s="62">
        <v>43628</v>
      </c>
      <c r="N17" s="63">
        <f>1379.41/2</f>
        <v>689.70500000000004</v>
      </c>
      <c r="O17" s="63">
        <f>1379.41/2</f>
        <v>689.70500000000004</v>
      </c>
      <c r="P17" s="63">
        <f t="shared" si="0"/>
        <v>1379.41</v>
      </c>
      <c r="Q17" s="34">
        <v>2</v>
      </c>
      <c r="R17" s="63">
        <v>120</v>
      </c>
      <c r="S17" s="34">
        <v>0</v>
      </c>
      <c r="T17" s="63">
        <v>0</v>
      </c>
      <c r="U17" s="63">
        <f t="shared" si="1"/>
        <v>240</v>
      </c>
      <c r="V17" s="63">
        <f t="shared" si="2"/>
        <v>1619.41</v>
      </c>
      <c r="W17" s="63">
        <f t="shared" si="3"/>
        <v>1619.41</v>
      </c>
      <c r="X17" s="34"/>
    </row>
    <row r="18" spans="1:24" ht="14" x14ac:dyDescent="0.3">
      <c r="A18" s="34" t="s">
        <v>229</v>
      </c>
      <c r="B18" s="34" t="s">
        <v>215</v>
      </c>
      <c r="C18" s="34" t="s">
        <v>48</v>
      </c>
      <c r="D18" s="56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62">
        <v>43628</v>
      </c>
      <c r="M18" s="62">
        <v>43629</v>
      </c>
      <c r="N18" s="63">
        <f>2417.28/2</f>
        <v>1208.6400000000001</v>
      </c>
      <c r="O18" s="63">
        <f>2417.28/2</f>
        <v>1208.6400000000001</v>
      </c>
      <c r="P18" s="63">
        <f t="shared" si="0"/>
        <v>2417.2800000000002</v>
      </c>
      <c r="Q18" s="34">
        <v>4</v>
      </c>
      <c r="R18" s="63">
        <v>120</v>
      </c>
      <c r="S18" s="34">
        <v>0</v>
      </c>
      <c r="T18" s="63">
        <v>0</v>
      </c>
      <c r="U18" s="63">
        <f t="shared" si="1"/>
        <v>480</v>
      </c>
      <c r="V18" s="63">
        <f t="shared" si="2"/>
        <v>2897.28</v>
      </c>
      <c r="W18" s="63">
        <f t="shared" si="3"/>
        <v>2897.28</v>
      </c>
      <c r="X18" s="34"/>
    </row>
    <row r="19" spans="1:24" ht="25" x14ac:dyDescent="0.3">
      <c r="A19" s="34" t="s">
        <v>372</v>
      </c>
      <c r="B19" s="34" t="s">
        <v>225</v>
      </c>
      <c r="C19" s="34" t="s">
        <v>201</v>
      </c>
      <c r="D19" s="56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62">
        <v>43641</v>
      </c>
      <c r="M19" s="62">
        <v>43643</v>
      </c>
      <c r="N19" s="63">
        <f>2390.88/2</f>
        <v>1195.44</v>
      </c>
      <c r="O19" s="63">
        <f>2390.88/2</f>
        <v>1195.44</v>
      </c>
      <c r="P19" s="63">
        <f t="shared" si="0"/>
        <v>2390.88</v>
      </c>
      <c r="Q19" s="34">
        <v>6</v>
      </c>
      <c r="R19" s="63">
        <v>120</v>
      </c>
      <c r="S19" s="34">
        <v>0</v>
      </c>
      <c r="T19" s="63">
        <v>0</v>
      </c>
      <c r="U19" s="63">
        <f t="shared" si="1"/>
        <v>720</v>
      </c>
      <c r="V19" s="63">
        <f t="shared" si="2"/>
        <v>3110.88</v>
      </c>
      <c r="W19" s="63">
        <f t="shared" si="3"/>
        <v>3110.88</v>
      </c>
      <c r="X19" s="34"/>
    </row>
    <row r="20" spans="1:24" ht="25" x14ac:dyDescent="0.3">
      <c r="A20" s="34" t="s">
        <v>372</v>
      </c>
      <c r="B20" s="34" t="s">
        <v>372</v>
      </c>
      <c r="C20" s="65" t="s">
        <v>75</v>
      </c>
      <c r="D20" s="51"/>
      <c r="E20" s="64"/>
      <c r="F20" s="65" t="s">
        <v>457</v>
      </c>
      <c r="G20" s="65" t="s">
        <v>31</v>
      </c>
      <c r="H20" s="65" t="s">
        <v>32</v>
      </c>
      <c r="I20" s="65" t="s">
        <v>33</v>
      </c>
      <c r="J20" s="65" t="s">
        <v>38</v>
      </c>
      <c r="K20" s="65" t="s">
        <v>39</v>
      </c>
      <c r="L20" s="67">
        <v>43642</v>
      </c>
      <c r="M20" s="67">
        <v>43644</v>
      </c>
      <c r="N20" s="68">
        <f>1925.28/2</f>
        <v>962.64</v>
      </c>
      <c r="O20" s="68">
        <f>1925.28/2</f>
        <v>962.64</v>
      </c>
      <c r="P20" s="63">
        <f t="shared" si="0"/>
        <v>1925.28</v>
      </c>
      <c r="Q20" s="65">
        <v>0</v>
      </c>
      <c r="R20" s="68">
        <v>0</v>
      </c>
      <c r="S20" s="65">
        <v>0</v>
      </c>
      <c r="T20" s="68">
        <v>0</v>
      </c>
      <c r="U20" s="63">
        <f t="shared" si="1"/>
        <v>0</v>
      </c>
      <c r="V20" s="63">
        <f t="shared" si="2"/>
        <v>1925.28</v>
      </c>
      <c r="W20" s="63">
        <f t="shared" si="3"/>
        <v>1925.28</v>
      </c>
      <c r="X20" s="65"/>
    </row>
    <row r="21" spans="1:24" ht="14" x14ac:dyDescent="0.3">
      <c r="A21" s="365" t="s">
        <v>250</v>
      </c>
      <c r="B21" s="365" t="s">
        <v>250</v>
      </c>
      <c r="C21" s="377" t="s">
        <v>319</v>
      </c>
      <c r="D21" s="375"/>
      <c r="E21" s="376"/>
      <c r="F21" s="377" t="s">
        <v>458</v>
      </c>
      <c r="G21" s="377" t="s">
        <v>31</v>
      </c>
      <c r="H21" s="53" t="s">
        <v>111</v>
      </c>
      <c r="I21" s="53" t="s">
        <v>112</v>
      </c>
      <c r="J21" s="53" t="s">
        <v>38</v>
      </c>
      <c r="K21" s="53" t="s">
        <v>39</v>
      </c>
      <c r="L21" s="69">
        <v>43629</v>
      </c>
      <c r="M21" s="69">
        <v>43630</v>
      </c>
      <c r="N21" s="379">
        <f>3129.35/2</f>
        <v>1564.675</v>
      </c>
      <c r="O21" s="379">
        <f>3129.35/2</f>
        <v>1564.675</v>
      </c>
      <c r="P21" s="379">
        <v>1925.28</v>
      </c>
      <c r="Q21" s="377">
        <v>2</v>
      </c>
      <c r="R21" s="379">
        <v>120</v>
      </c>
      <c r="S21" s="379">
        <v>0</v>
      </c>
      <c r="T21" s="379">
        <v>0</v>
      </c>
      <c r="U21" s="381">
        <f t="shared" ref="U21" si="4">(Q21*R21)+(S21*T21)</f>
        <v>240</v>
      </c>
      <c r="V21" s="384">
        <f t="shared" ref="V21" si="5">U21+P21</f>
        <v>2165.2799999999997</v>
      </c>
      <c r="W21" s="387">
        <f t="shared" si="3"/>
        <v>2165.2799999999997</v>
      </c>
      <c r="X21" s="379"/>
    </row>
    <row r="22" spans="1:24" ht="14" x14ac:dyDescent="0.3">
      <c r="A22" s="380"/>
      <c r="B22" s="380"/>
      <c r="C22" s="377"/>
      <c r="D22" s="375"/>
      <c r="E22" s="376"/>
      <c r="F22" s="377"/>
      <c r="G22" s="377"/>
      <c r="H22" s="53" t="s">
        <v>38</v>
      </c>
      <c r="I22" s="53" t="s">
        <v>39</v>
      </c>
      <c r="J22" s="53" t="s">
        <v>121</v>
      </c>
      <c r="K22" s="53" t="s">
        <v>62</v>
      </c>
      <c r="L22" s="69">
        <v>43630</v>
      </c>
      <c r="M22" s="69">
        <v>43633</v>
      </c>
      <c r="N22" s="379"/>
      <c r="O22" s="379"/>
      <c r="P22" s="379"/>
      <c r="Q22" s="377"/>
      <c r="R22" s="379"/>
      <c r="S22" s="379"/>
      <c r="T22" s="379"/>
      <c r="U22" s="382"/>
      <c r="V22" s="385"/>
      <c r="W22" s="388"/>
      <c r="X22" s="379"/>
    </row>
    <row r="23" spans="1:24" ht="15" customHeight="1" x14ac:dyDescent="0.3">
      <c r="A23" s="366"/>
      <c r="B23" s="366"/>
      <c r="C23" s="377"/>
      <c r="D23" s="375"/>
      <c r="E23" s="376"/>
      <c r="F23" s="377"/>
      <c r="G23" s="377"/>
      <c r="H23" s="53" t="s">
        <v>121</v>
      </c>
      <c r="I23" s="53" t="s">
        <v>62</v>
      </c>
      <c r="J23" s="53" t="s">
        <v>32</v>
      </c>
      <c r="K23" s="53" t="s">
        <v>33</v>
      </c>
      <c r="L23" s="69">
        <v>43633</v>
      </c>
      <c r="M23" s="69">
        <v>43633</v>
      </c>
      <c r="N23" s="379"/>
      <c r="O23" s="379"/>
      <c r="P23" s="379"/>
      <c r="Q23" s="377"/>
      <c r="R23" s="379"/>
      <c r="S23" s="379"/>
      <c r="T23" s="379"/>
      <c r="U23" s="383"/>
      <c r="V23" s="386"/>
      <c r="W23" s="389"/>
      <c r="X23" s="379"/>
    </row>
    <row r="24" spans="1:24" ht="45" customHeight="1" x14ac:dyDescent="0.3">
      <c r="A24" s="34" t="s">
        <v>250</v>
      </c>
      <c r="B24" s="34" t="s">
        <v>322</v>
      </c>
      <c r="C24" s="34" t="s">
        <v>343</v>
      </c>
      <c r="D24" s="44"/>
      <c r="E24" s="44"/>
      <c r="F24" s="65" t="s">
        <v>459</v>
      </c>
      <c r="G24" s="65" t="s">
        <v>31</v>
      </c>
      <c r="H24" s="65" t="s">
        <v>32</v>
      </c>
      <c r="I24" s="65" t="s">
        <v>33</v>
      </c>
      <c r="J24" s="34" t="s">
        <v>38</v>
      </c>
      <c r="K24" s="34" t="s">
        <v>39</v>
      </c>
      <c r="L24" s="69">
        <v>43646</v>
      </c>
      <c r="M24" s="69">
        <v>43649</v>
      </c>
      <c r="N24" s="44">
        <f>1450.58/2</f>
        <v>725.29</v>
      </c>
      <c r="O24" s="44">
        <f>1450.58/2</f>
        <v>725.29</v>
      </c>
      <c r="P24" s="63">
        <f t="shared" ref="P24:P29" si="6">SUM(N24:O24)</f>
        <v>1450.58</v>
      </c>
      <c r="Q24" s="34">
        <v>4</v>
      </c>
      <c r="R24" s="63">
        <v>120</v>
      </c>
      <c r="S24" s="34">
        <v>0</v>
      </c>
      <c r="T24" s="63">
        <v>0</v>
      </c>
      <c r="U24" s="63">
        <f t="shared" ref="U24" si="7">(Q24*R24)+(S24*T24)</f>
        <v>480</v>
      </c>
      <c r="V24" s="63">
        <f t="shared" ref="V24" si="8">U24+P24</f>
        <v>1930.58</v>
      </c>
      <c r="W24" s="63">
        <f t="shared" ref="W24:W29" si="9">V24</f>
        <v>1930.58</v>
      </c>
      <c r="X24" s="44"/>
    </row>
    <row r="25" spans="1:24" ht="37.5" x14ac:dyDescent="0.3">
      <c r="A25" s="34" t="s">
        <v>250</v>
      </c>
      <c r="B25" s="34" t="s">
        <v>322</v>
      </c>
      <c r="C25" s="34" t="s">
        <v>450</v>
      </c>
      <c r="D25" s="44"/>
      <c r="E25" s="44"/>
      <c r="F25" s="65" t="s">
        <v>459</v>
      </c>
      <c r="G25" s="65" t="s">
        <v>31</v>
      </c>
      <c r="H25" s="65" t="s">
        <v>32</v>
      </c>
      <c r="I25" s="65" t="s">
        <v>33</v>
      </c>
      <c r="J25" s="34" t="s">
        <v>38</v>
      </c>
      <c r="K25" s="34" t="s">
        <v>39</v>
      </c>
      <c r="L25" s="69">
        <v>43646</v>
      </c>
      <c r="M25" s="69">
        <v>43649</v>
      </c>
      <c r="N25" s="44">
        <f t="shared" ref="N25:O29" si="10">1450.58/2</f>
        <v>725.29</v>
      </c>
      <c r="O25" s="44">
        <f t="shared" si="10"/>
        <v>725.29</v>
      </c>
      <c r="P25" s="63">
        <f t="shared" si="6"/>
        <v>1450.58</v>
      </c>
      <c r="Q25" s="34">
        <v>4</v>
      </c>
      <c r="R25" s="63">
        <v>120</v>
      </c>
      <c r="S25" s="34">
        <v>2</v>
      </c>
      <c r="T25" s="63">
        <v>100</v>
      </c>
      <c r="U25" s="63">
        <f t="shared" ref="U25:U29" si="11">(Q25*R25)+(S25*T25)</f>
        <v>680</v>
      </c>
      <c r="V25" s="63">
        <f t="shared" ref="V25:V29" si="12">U25+P25</f>
        <v>2130.58</v>
      </c>
      <c r="W25" s="63">
        <f t="shared" si="9"/>
        <v>2130.58</v>
      </c>
      <c r="X25" s="44"/>
    </row>
    <row r="26" spans="1:24" ht="37.5" x14ac:dyDescent="0.3">
      <c r="A26" s="34" t="s">
        <v>250</v>
      </c>
      <c r="B26" s="34" t="s">
        <v>322</v>
      </c>
      <c r="C26" s="34" t="s">
        <v>451</v>
      </c>
      <c r="D26" s="44"/>
      <c r="E26" s="44"/>
      <c r="F26" s="65" t="s">
        <v>459</v>
      </c>
      <c r="G26" s="65" t="s">
        <v>31</v>
      </c>
      <c r="H26" s="65" t="s">
        <v>32</v>
      </c>
      <c r="I26" s="65" t="s">
        <v>33</v>
      </c>
      <c r="J26" s="34" t="s">
        <v>38</v>
      </c>
      <c r="K26" s="34" t="s">
        <v>39</v>
      </c>
      <c r="L26" s="69">
        <v>43646</v>
      </c>
      <c r="M26" s="69">
        <v>43649</v>
      </c>
      <c r="N26" s="44">
        <f t="shared" si="10"/>
        <v>725.29</v>
      </c>
      <c r="O26" s="44">
        <f t="shared" si="10"/>
        <v>725.29</v>
      </c>
      <c r="P26" s="63">
        <f t="shared" si="6"/>
        <v>1450.58</v>
      </c>
      <c r="Q26" s="34">
        <v>4</v>
      </c>
      <c r="R26" s="63">
        <v>120</v>
      </c>
      <c r="S26" s="34">
        <v>2</v>
      </c>
      <c r="T26" s="63">
        <v>100</v>
      </c>
      <c r="U26" s="63">
        <f t="shared" si="11"/>
        <v>680</v>
      </c>
      <c r="V26" s="63">
        <f t="shared" si="12"/>
        <v>2130.58</v>
      </c>
      <c r="W26" s="63">
        <f t="shared" si="9"/>
        <v>2130.58</v>
      </c>
      <c r="X26" s="44"/>
    </row>
    <row r="27" spans="1:24" ht="37.5" x14ac:dyDescent="0.3">
      <c r="A27" s="34" t="s">
        <v>250</v>
      </c>
      <c r="B27" s="34" t="s">
        <v>322</v>
      </c>
      <c r="C27" s="34" t="s">
        <v>452</v>
      </c>
      <c r="D27" s="44"/>
      <c r="E27" s="44"/>
      <c r="F27" s="65" t="s">
        <v>459</v>
      </c>
      <c r="G27" s="65" t="s">
        <v>31</v>
      </c>
      <c r="H27" s="65" t="s">
        <v>32</v>
      </c>
      <c r="I27" s="65" t="s">
        <v>33</v>
      </c>
      <c r="J27" s="34" t="s">
        <v>38</v>
      </c>
      <c r="K27" s="34" t="s">
        <v>39</v>
      </c>
      <c r="L27" s="69">
        <v>43646</v>
      </c>
      <c r="M27" s="69">
        <v>43649</v>
      </c>
      <c r="N27" s="44">
        <f t="shared" si="10"/>
        <v>725.29</v>
      </c>
      <c r="O27" s="44">
        <f t="shared" si="10"/>
        <v>725.29</v>
      </c>
      <c r="P27" s="63">
        <f t="shared" si="6"/>
        <v>1450.58</v>
      </c>
      <c r="Q27" s="34">
        <v>4</v>
      </c>
      <c r="R27" s="63">
        <v>120</v>
      </c>
      <c r="S27" s="34">
        <v>2</v>
      </c>
      <c r="T27" s="63">
        <v>100</v>
      </c>
      <c r="U27" s="63">
        <f t="shared" si="11"/>
        <v>680</v>
      </c>
      <c r="V27" s="63">
        <f t="shared" si="12"/>
        <v>2130.58</v>
      </c>
      <c r="W27" s="63">
        <f t="shared" si="9"/>
        <v>2130.58</v>
      </c>
      <c r="X27" s="44"/>
    </row>
    <row r="28" spans="1:24" ht="37.5" x14ac:dyDescent="0.3">
      <c r="A28" s="34" t="s">
        <v>250</v>
      </c>
      <c r="B28" s="34" t="s">
        <v>289</v>
      </c>
      <c r="C28" s="34" t="s">
        <v>453</v>
      </c>
      <c r="D28" s="44"/>
      <c r="E28" s="44"/>
      <c r="F28" s="65" t="s">
        <v>459</v>
      </c>
      <c r="G28" s="65" t="s">
        <v>31</v>
      </c>
      <c r="H28" s="65" t="s">
        <v>32</v>
      </c>
      <c r="I28" s="65" t="s">
        <v>33</v>
      </c>
      <c r="J28" s="34" t="s">
        <v>38</v>
      </c>
      <c r="K28" s="34" t="s">
        <v>39</v>
      </c>
      <c r="L28" s="69">
        <v>43646</v>
      </c>
      <c r="M28" s="69">
        <v>43649</v>
      </c>
      <c r="N28" s="44">
        <f t="shared" si="10"/>
        <v>725.29</v>
      </c>
      <c r="O28" s="44">
        <f t="shared" si="10"/>
        <v>725.29</v>
      </c>
      <c r="P28" s="63">
        <f t="shared" si="6"/>
        <v>1450.58</v>
      </c>
      <c r="Q28" s="34">
        <v>4</v>
      </c>
      <c r="R28" s="63">
        <v>120</v>
      </c>
      <c r="S28" s="34">
        <v>2</v>
      </c>
      <c r="T28" s="63">
        <v>100</v>
      </c>
      <c r="U28" s="63">
        <f t="shared" si="11"/>
        <v>680</v>
      </c>
      <c r="V28" s="63">
        <f t="shared" si="12"/>
        <v>2130.58</v>
      </c>
      <c r="W28" s="63">
        <f t="shared" si="9"/>
        <v>2130.58</v>
      </c>
      <c r="X28" s="44"/>
    </row>
    <row r="29" spans="1:24" ht="37.5" x14ac:dyDescent="0.3">
      <c r="A29" s="34" t="s">
        <v>250</v>
      </c>
      <c r="B29" s="34" t="s">
        <v>289</v>
      </c>
      <c r="C29" s="34" t="s">
        <v>371</v>
      </c>
      <c r="D29" s="44"/>
      <c r="E29" s="44"/>
      <c r="F29" s="53" t="s">
        <v>459</v>
      </c>
      <c r="G29" s="53" t="s">
        <v>31</v>
      </c>
      <c r="H29" s="53" t="s">
        <v>32</v>
      </c>
      <c r="I29" s="53" t="s">
        <v>33</v>
      </c>
      <c r="J29" s="34" t="s">
        <v>38</v>
      </c>
      <c r="K29" s="34" t="s">
        <v>39</v>
      </c>
      <c r="L29" s="69">
        <v>43646</v>
      </c>
      <c r="M29" s="69">
        <v>43649</v>
      </c>
      <c r="N29" s="44">
        <f t="shared" si="10"/>
        <v>725.29</v>
      </c>
      <c r="O29" s="44">
        <f t="shared" si="10"/>
        <v>725.29</v>
      </c>
      <c r="P29" s="63">
        <f t="shared" si="6"/>
        <v>1450.58</v>
      </c>
      <c r="Q29" s="34">
        <v>4</v>
      </c>
      <c r="R29" s="63">
        <v>120</v>
      </c>
      <c r="S29" s="34">
        <v>0</v>
      </c>
      <c r="T29" s="63">
        <v>0</v>
      </c>
      <c r="U29" s="63">
        <f t="shared" si="11"/>
        <v>480</v>
      </c>
      <c r="V29" s="63">
        <f t="shared" si="12"/>
        <v>1930.58</v>
      </c>
      <c r="W29" s="63">
        <f t="shared" si="9"/>
        <v>1930.58</v>
      </c>
      <c r="X29" s="44"/>
    </row>
  </sheetData>
  <mergeCells count="45">
    <mergeCell ref="A21:A23"/>
    <mergeCell ref="T21:T23"/>
    <mergeCell ref="U21:U23"/>
    <mergeCell ref="V21:V23"/>
    <mergeCell ref="W21:W23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37"/>
  <sheetViews>
    <sheetView topLeftCell="A24" workbookViewId="0">
      <selection activeCell="D5" sqref="D5:E6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6" t="s">
        <v>0</v>
      </c>
      <c r="W5" s="336"/>
      <c r="X5" s="72">
        <v>43586</v>
      </c>
    </row>
    <row r="6" spans="1:47" ht="14" x14ac:dyDescent="0.3">
      <c r="A6" s="337" t="s">
        <v>4</v>
      </c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</row>
    <row r="7" spans="1:47" ht="14" x14ac:dyDescent="0.3">
      <c r="A7" s="337" t="s">
        <v>5</v>
      </c>
      <c r="B7" s="337"/>
      <c r="C7" s="337" t="s">
        <v>6</v>
      </c>
      <c r="D7" s="337"/>
      <c r="E7" s="337"/>
      <c r="F7" s="337" t="s">
        <v>3</v>
      </c>
      <c r="G7" s="337"/>
      <c r="H7" s="337"/>
      <c r="I7" s="337"/>
      <c r="J7" s="337"/>
      <c r="K7" s="337"/>
      <c r="L7" s="337"/>
      <c r="M7" s="337"/>
      <c r="N7" s="337" t="s">
        <v>7</v>
      </c>
      <c r="O7" s="337"/>
      <c r="P7" s="337"/>
      <c r="Q7" s="337" t="s">
        <v>1</v>
      </c>
      <c r="R7" s="337"/>
      <c r="S7" s="337"/>
      <c r="T7" s="337"/>
      <c r="U7" s="337"/>
      <c r="V7" s="337"/>
      <c r="W7" s="337" t="s">
        <v>8</v>
      </c>
      <c r="X7" s="390" t="s">
        <v>9</v>
      </c>
    </row>
    <row r="8" spans="1:47" s="9" customFormat="1" ht="14" x14ac:dyDescent="0.3">
      <c r="A8" s="338" t="s">
        <v>10</v>
      </c>
      <c r="B8" s="338" t="s">
        <v>11</v>
      </c>
      <c r="C8" s="338" t="s">
        <v>12</v>
      </c>
      <c r="D8" s="338" t="s">
        <v>13</v>
      </c>
      <c r="E8" s="338" t="s">
        <v>14</v>
      </c>
      <c r="F8" s="338" t="s">
        <v>15</v>
      </c>
      <c r="G8" s="338" t="s">
        <v>16</v>
      </c>
      <c r="H8" s="338" t="s">
        <v>17</v>
      </c>
      <c r="I8" s="338"/>
      <c r="J8" s="339" t="s">
        <v>18</v>
      </c>
      <c r="K8" s="339"/>
      <c r="L8" s="338" t="s">
        <v>19</v>
      </c>
      <c r="M8" s="338" t="s">
        <v>20</v>
      </c>
      <c r="N8" s="339" t="s">
        <v>21</v>
      </c>
      <c r="O8" s="339" t="s">
        <v>22</v>
      </c>
      <c r="P8" s="339" t="s">
        <v>23</v>
      </c>
      <c r="Q8" s="339" t="s">
        <v>24</v>
      </c>
      <c r="R8" s="339"/>
      <c r="S8" s="339" t="s">
        <v>25</v>
      </c>
      <c r="T8" s="339"/>
      <c r="U8" s="338" t="s">
        <v>26</v>
      </c>
      <c r="V8" s="339" t="s">
        <v>23</v>
      </c>
      <c r="W8" s="337"/>
      <c r="X8" s="390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3">
      <c r="A9" s="338"/>
      <c r="B9" s="338"/>
      <c r="C9" s="338"/>
      <c r="D9" s="338"/>
      <c r="E9" s="338"/>
      <c r="F9" s="338"/>
      <c r="G9" s="338"/>
      <c r="H9" s="10" t="s">
        <v>27</v>
      </c>
      <c r="I9" s="10" t="s">
        <v>28</v>
      </c>
      <c r="J9" s="10" t="s">
        <v>27</v>
      </c>
      <c r="K9" s="11" t="s">
        <v>29</v>
      </c>
      <c r="L9" s="338"/>
      <c r="M9" s="338"/>
      <c r="N9" s="339"/>
      <c r="O9" s="339"/>
      <c r="P9" s="339"/>
      <c r="Q9" s="10" t="s">
        <v>2</v>
      </c>
      <c r="R9" s="11" t="s">
        <v>30</v>
      </c>
      <c r="S9" s="10" t="s">
        <v>2</v>
      </c>
      <c r="T9" s="11" t="s">
        <v>30</v>
      </c>
      <c r="U9" s="338"/>
      <c r="V9" s="339"/>
      <c r="W9" s="337"/>
      <c r="X9" s="391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" x14ac:dyDescent="0.3">
      <c r="A10" s="53" t="s">
        <v>372</v>
      </c>
      <c r="B10" s="76" t="s">
        <v>238</v>
      </c>
      <c r="C10" s="76" t="s">
        <v>447</v>
      </c>
      <c r="D10" s="29" t="s">
        <v>488</v>
      </c>
      <c r="E10" s="20" t="s">
        <v>84</v>
      </c>
      <c r="F10" s="53" t="s">
        <v>463</v>
      </c>
      <c r="G10" s="53" t="s">
        <v>31</v>
      </c>
      <c r="H10" s="53" t="s">
        <v>32</v>
      </c>
      <c r="I10" s="53" t="s">
        <v>33</v>
      </c>
      <c r="J10" s="53" t="s">
        <v>139</v>
      </c>
      <c r="K10" s="53" t="s">
        <v>181</v>
      </c>
      <c r="L10" s="69">
        <v>43691</v>
      </c>
      <c r="M10" s="69">
        <v>43693</v>
      </c>
      <c r="N10" s="70">
        <f>1303.98/2</f>
        <v>651.99</v>
      </c>
      <c r="O10" s="70">
        <f>1303.98/2</f>
        <v>651.99</v>
      </c>
      <c r="P10" s="70">
        <f t="shared" ref="P10:P18" si="0">SUM(N10:O10)</f>
        <v>1303.98</v>
      </c>
      <c r="Q10" s="53">
        <v>3</v>
      </c>
      <c r="R10" s="70">
        <v>120</v>
      </c>
      <c r="S10" s="53">
        <v>3</v>
      </c>
      <c r="T10" s="70">
        <v>100</v>
      </c>
      <c r="U10" s="70">
        <f>(Q10*R10)+(S10*T10)</f>
        <v>660</v>
      </c>
      <c r="V10" s="70">
        <f>U10+P10</f>
        <v>1963.98</v>
      </c>
      <c r="W10" s="70">
        <f>V10</f>
        <v>1963.98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" x14ac:dyDescent="0.3">
      <c r="A11" s="53" t="s">
        <v>372</v>
      </c>
      <c r="B11" s="76" t="s">
        <v>238</v>
      </c>
      <c r="C11" s="76" t="s">
        <v>135</v>
      </c>
      <c r="D11" s="29" t="s">
        <v>151</v>
      </c>
      <c r="E11" s="20" t="s">
        <v>411</v>
      </c>
      <c r="F11" s="53" t="s">
        <v>463</v>
      </c>
      <c r="G11" s="53" t="s">
        <v>31</v>
      </c>
      <c r="H11" s="53" t="s">
        <v>32</v>
      </c>
      <c r="I11" s="53" t="s">
        <v>33</v>
      </c>
      <c r="J11" s="53" t="s">
        <v>139</v>
      </c>
      <c r="K11" s="53" t="s">
        <v>181</v>
      </c>
      <c r="L11" s="69">
        <v>43691</v>
      </c>
      <c r="M11" s="69">
        <v>43693</v>
      </c>
      <c r="N11" s="70">
        <f>1390.68/2</f>
        <v>695.34</v>
      </c>
      <c r="O11" s="70">
        <f>1390.68/2</f>
        <v>695.34</v>
      </c>
      <c r="P11" s="70">
        <f t="shared" si="0"/>
        <v>1390.68</v>
      </c>
      <c r="Q11" s="53">
        <v>4</v>
      </c>
      <c r="R11" s="70">
        <v>120</v>
      </c>
      <c r="S11" s="53">
        <v>3</v>
      </c>
      <c r="T11" s="70">
        <v>100</v>
      </c>
      <c r="U11" s="70">
        <f t="shared" ref="U11:U20" si="1">(Q11*R11)+(S11*T11)</f>
        <v>780</v>
      </c>
      <c r="V11" s="70">
        <f t="shared" ref="V11:V18" si="2">U11+P11</f>
        <v>2170.6800000000003</v>
      </c>
      <c r="W11" s="70">
        <f t="shared" ref="W11:W37" si="3">V11</f>
        <v>2170.6800000000003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" x14ac:dyDescent="0.3">
      <c r="A12" s="53" t="s">
        <v>229</v>
      </c>
      <c r="B12" s="76" t="s">
        <v>215</v>
      </c>
      <c r="C12" s="76" t="s">
        <v>48</v>
      </c>
      <c r="D12" s="29" t="s">
        <v>81</v>
      </c>
      <c r="E12" s="20" t="s">
        <v>56</v>
      </c>
      <c r="F12" s="53" t="s">
        <v>463</v>
      </c>
      <c r="G12" s="53" t="s">
        <v>31</v>
      </c>
      <c r="H12" s="53" t="s">
        <v>32</v>
      </c>
      <c r="I12" s="53" t="s">
        <v>33</v>
      </c>
      <c r="J12" s="53" t="s">
        <v>139</v>
      </c>
      <c r="K12" s="53" t="s">
        <v>181</v>
      </c>
      <c r="L12" s="69">
        <v>43691</v>
      </c>
      <c r="M12" s="69">
        <v>43693</v>
      </c>
      <c r="N12" s="70">
        <f>1319.68/2</f>
        <v>659.84</v>
      </c>
      <c r="O12" s="70">
        <f>1319.68/2</f>
        <v>659.84</v>
      </c>
      <c r="P12" s="70">
        <f t="shared" si="0"/>
        <v>1319.68</v>
      </c>
      <c r="Q12" s="53">
        <v>5</v>
      </c>
      <c r="R12" s="70">
        <v>120</v>
      </c>
      <c r="S12" s="53">
        <v>0</v>
      </c>
      <c r="T12" s="70">
        <v>0</v>
      </c>
      <c r="U12" s="70">
        <f t="shared" si="1"/>
        <v>600</v>
      </c>
      <c r="V12" s="70">
        <f t="shared" si="2"/>
        <v>1919.68</v>
      </c>
      <c r="W12" s="70">
        <f t="shared" si="3"/>
        <v>1919.68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37.5" x14ac:dyDescent="0.3">
      <c r="A13" s="53" t="s">
        <v>229</v>
      </c>
      <c r="B13" s="76" t="s">
        <v>461</v>
      </c>
      <c r="C13" s="76" t="s">
        <v>396</v>
      </c>
      <c r="D13" s="56" t="s">
        <v>402</v>
      </c>
      <c r="E13" s="66" t="s">
        <v>406</v>
      </c>
      <c r="F13" s="53" t="s">
        <v>464</v>
      </c>
      <c r="G13" s="53" t="s">
        <v>31</v>
      </c>
      <c r="H13" s="53" t="s">
        <v>32</v>
      </c>
      <c r="I13" s="53" t="s">
        <v>33</v>
      </c>
      <c r="J13" s="53" t="s">
        <v>462</v>
      </c>
      <c r="K13" s="53" t="s">
        <v>424</v>
      </c>
      <c r="L13" s="69">
        <v>43695</v>
      </c>
      <c r="M13" s="69">
        <v>43698</v>
      </c>
      <c r="N13" s="70">
        <f>1365.72/2</f>
        <v>682.86</v>
      </c>
      <c r="O13" s="70">
        <f>1365.72/2</f>
        <v>682.86</v>
      </c>
      <c r="P13" s="70">
        <f t="shared" si="0"/>
        <v>1365.72</v>
      </c>
      <c r="Q13" s="53">
        <v>4</v>
      </c>
      <c r="R13" s="70">
        <v>120</v>
      </c>
      <c r="S13" s="53">
        <v>0</v>
      </c>
      <c r="T13" s="70">
        <v>0</v>
      </c>
      <c r="U13" s="70">
        <f t="shared" si="1"/>
        <v>480</v>
      </c>
      <c r="V13" s="70">
        <f t="shared" si="2"/>
        <v>1845.72</v>
      </c>
      <c r="W13" s="70">
        <f t="shared" si="3"/>
        <v>1845.72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" x14ac:dyDescent="0.3">
      <c r="A14" s="53" t="s">
        <v>229</v>
      </c>
      <c r="B14" s="76" t="s">
        <v>227</v>
      </c>
      <c r="C14" s="76" t="s">
        <v>246</v>
      </c>
      <c r="D14" s="56" t="s">
        <v>263</v>
      </c>
      <c r="E14" s="66" t="s">
        <v>351</v>
      </c>
      <c r="F14" s="53" t="s">
        <v>465</v>
      </c>
      <c r="G14" s="53" t="s">
        <v>31</v>
      </c>
      <c r="H14" s="53" t="s">
        <v>32</v>
      </c>
      <c r="I14" s="53" t="s">
        <v>33</v>
      </c>
      <c r="J14" s="53" t="s">
        <v>38</v>
      </c>
      <c r="K14" s="53" t="s">
        <v>39</v>
      </c>
      <c r="L14" s="69">
        <v>43684</v>
      </c>
      <c r="M14" s="69">
        <v>43686</v>
      </c>
      <c r="N14" s="70">
        <f>1242.89/2</f>
        <v>621.44500000000005</v>
      </c>
      <c r="O14" s="70">
        <f>1242.89/2</f>
        <v>621.44500000000005</v>
      </c>
      <c r="P14" s="70">
        <f t="shared" si="0"/>
        <v>1242.8900000000001</v>
      </c>
      <c r="Q14" s="53">
        <v>3</v>
      </c>
      <c r="R14" s="70">
        <v>120</v>
      </c>
      <c r="S14" s="53">
        <v>2</v>
      </c>
      <c r="T14" s="70">
        <v>100</v>
      </c>
      <c r="U14" s="70">
        <f t="shared" si="1"/>
        <v>560</v>
      </c>
      <c r="V14" s="70">
        <f t="shared" si="2"/>
        <v>1802.89</v>
      </c>
      <c r="W14" s="70">
        <f t="shared" si="3"/>
        <v>1802.89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" x14ac:dyDescent="0.3">
      <c r="A15" s="53" t="s">
        <v>372</v>
      </c>
      <c r="B15" s="76" t="s">
        <v>398</v>
      </c>
      <c r="C15" s="76" t="s">
        <v>460</v>
      </c>
      <c r="D15" s="56" t="s">
        <v>489</v>
      </c>
      <c r="E15" s="66" t="s">
        <v>490</v>
      </c>
      <c r="F15" s="53" t="s">
        <v>466</v>
      </c>
      <c r="G15" s="53" t="s">
        <v>31</v>
      </c>
      <c r="H15" s="53" t="s">
        <v>32</v>
      </c>
      <c r="I15" s="53" t="s">
        <v>33</v>
      </c>
      <c r="J15" s="53" t="s">
        <v>139</v>
      </c>
      <c r="K15" s="53" t="s">
        <v>181</v>
      </c>
      <c r="L15" s="69">
        <v>43683</v>
      </c>
      <c r="M15" s="69">
        <v>43685</v>
      </c>
      <c r="N15" s="70">
        <f>1522.25/2</f>
        <v>761.125</v>
      </c>
      <c r="O15" s="70">
        <f>1522.25/2</f>
        <v>761.125</v>
      </c>
      <c r="P15" s="70">
        <f t="shared" si="0"/>
        <v>1522.25</v>
      </c>
      <c r="Q15" s="53">
        <v>3</v>
      </c>
      <c r="R15" s="70">
        <v>120</v>
      </c>
      <c r="S15" s="53">
        <v>0</v>
      </c>
      <c r="T15" s="70">
        <v>0</v>
      </c>
      <c r="U15" s="70">
        <f t="shared" si="1"/>
        <v>360</v>
      </c>
      <c r="V15" s="70">
        <f t="shared" si="2"/>
        <v>1882.25</v>
      </c>
      <c r="W15" s="70">
        <f t="shared" si="3"/>
        <v>1882.25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37.5" x14ac:dyDescent="0.3">
      <c r="A16" s="53" t="s">
        <v>372</v>
      </c>
      <c r="B16" s="76" t="s">
        <v>372</v>
      </c>
      <c r="C16" s="76" t="s">
        <v>75</v>
      </c>
      <c r="D16" s="29" t="s">
        <v>74</v>
      </c>
      <c r="E16" s="20" t="s">
        <v>88</v>
      </c>
      <c r="F16" s="53" t="s">
        <v>468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43697</v>
      </c>
      <c r="M16" s="69">
        <v>43698</v>
      </c>
      <c r="N16" s="70">
        <f>1321.79/2</f>
        <v>660.89499999999998</v>
      </c>
      <c r="O16" s="70">
        <f>1321.79/2</f>
        <v>660.89499999999998</v>
      </c>
      <c r="P16" s="70">
        <f t="shared" si="0"/>
        <v>1321.79</v>
      </c>
      <c r="Q16" s="53">
        <v>0</v>
      </c>
      <c r="R16" s="70">
        <v>0</v>
      </c>
      <c r="S16" s="53">
        <v>0</v>
      </c>
      <c r="T16" s="70">
        <v>0</v>
      </c>
      <c r="U16" s="70">
        <f t="shared" si="1"/>
        <v>0</v>
      </c>
      <c r="V16" s="70">
        <f t="shared" si="2"/>
        <v>1321.79</v>
      </c>
      <c r="W16" s="70">
        <f t="shared" si="3"/>
        <v>1321.79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37.5" x14ac:dyDescent="0.3">
      <c r="A17" s="53" t="s">
        <v>372</v>
      </c>
      <c r="B17" s="76" t="s">
        <v>225</v>
      </c>
      <c r="C17" s="76" t="s">
        <v>42</v>
      </c>
      <c r="D17" s="29" t="s">
        <v>68</v>
      </c>
      <c r="E17" s="20" t="s">
        <v>54</v>
      </c>
      <c r="F17" s="53" t="s">
        <v>470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43697</v>
      </c>
      <c r="M17" s="69">
        <v>43700</v>
      </c>
      <c r="N17" s="70">
        <f>1321.79/2</f>
        <v>660.89499999999998</v>
      </c>
      <c r="O17" s="70">
        <f>1321.79/2</f>
        <v>660.89499999999998</v>
      </c>
      <c r="P17" s="70">
        <f t="shared" si="0"/>
        <v>1321.79</v>
      </c>
      <c r="Q17" s="53">
        <v>7</v>
      </c>
      <c r="R17" s="70">
        <v>120</v>
      </c>
      <c r="S17" s="53">
        <v>0</v>
      </c>
      <c r="T17" s="70">
        <v>0</v>
      </c>
      <c r="U17" s="70">
        <f t="shared" si="1"/>
        <v>840</v>
      </c>
      <c r="V17" s="70">
        <f t="shared" si="2"/>
        <v>2161.79</v>
      </c>
      <c r="W17" s="70">
        <f t="shared" si="3"/>
        <v>2161.79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29.25" customHeight="1" x14ac:dyDescent="0.3">
      <c r="A18" s="53" t="s">
        <v>372</v>
      </c>
      <c r="B18" s="76" t="s">
        <v>225</v>
      </c>
      <c r="C18" s="76" t="s">
        <v>201</v>
      </c>
      <c r="D18" s="29" t="s">
        <v>204</v>
      </c>
      <c r="E18" s="20" t="s">
        <v>211</v>
      </c>
      <c r="F18" s="53" t="s">
        <v>469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43698</v>
      </c>
      <c r="M18" s="69">
        <v>43700</v>
      </c>
      <c r="N18" s="70">
        <f>1059.99/2</f>
        <v>529.995</v>
      </c>
      <c r="O18" s="70">
        <f>1059.99/2</f>
        <v>529.995</v>
      </c>
      <c r="P18" s="70">
        <f t="shared" si="0"/>
        <v>1059.99</v>
      </c>
      <c r="Q18" s="53">
        <v>6</v>
      </c>
      <c r="R18" s="70">
        <v>120</v>
      </c>
      <c r="S18" s="53">
        <v>0</v>
      </c>
      <c r="T18" s="70">
        <v>0</v>
      </c>
      <c r="U18" s="70">
        <f t="shared" si="1"/>
        <v>720</v>
      </c>
      <c r="V18" s="70">
        <f t="shared" si="2"/>
        <v>1779.99</v>
      </c>
      <c r="W18" s="70">
        <f t="shared" si="3"/>
        <v>1779.99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" x14ac:dyDescent="0.3">
      <c r="A19" s="53" t="s">
        <v>372</v>
      </c>
      <c r="B19" s="76" t="s">
        <v>225</v>
      </c>
      <c r="C19" s="76" t="s">
        <v>467</v>
      </c>
      <c r="D19" s="29" t="s">
        <v>491</v>
      </c>
      <c r="E19" s="20" t="s">
        <v>492</v>
      </c>
      <c r="F19" s="53" t="s">
        <v>469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43698</v>
      </c>
      <c r="M19" s="69">
        <v>43700</v>
      </c>
      <c r="N19" s="70">
        <f>1004.99/2</f>
        <v>502.495</v>
      </c>
      <c r="O19" s="70">
        <f>1004.99/2</f>
        <v>502.495</v>
      </c>
      <c r="P19" s="70">
        <f>SUM(N19:O19)</f>
        <v>1004.99</v>
      </c>
      <c r="Q19" s="53">
        <v>5</v>
      </c>
      <c r="R19" s="70">
        <v>120</v>
      </c>
      <c r="S19" s="53">
        <v>0</v>
      </c>
      <c r="T19" s="70">
        <v>0</v>
      </c>
      <c r="U19" s="70">
        <f t="shared" si="1"/>
        <v>600</v>
      </c>
      <c r="V19" s="70">
        <f>U19+P19</f>
        <v>1604.99</v>
      </c>
      <c r="W19" s="70">
        <f t="shared" si="3"/>
        <v>1604.99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" x14ac:dyDescent="0.3">
      <c r="A20" s="53" t="s">
        <v>372</v>
      </c>
      <c r="B20" s="76" t="s">
        <v>398</v>
      </c>
      <c r="C20" s="76" t="s">
        <v>460</v>
      </c>
      <c r="D20" s="56" t="s">
        <v>489</v>
      </c>
      <c r="E20" s="66" t="s">
        <v>490</v>
      </c>
      <c r="F20" s="53" t="s">
        <v>468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43697</v>
      </c>
      <c r="M20" s="69">
        <v>43698</v>
      </c>
      <c r="N20" s="70">
        <f>1321.79/2</f>
        <v>660.89499999999998</v>
      </c>
      <c r="O20" s="70">
        <f>1321.79/2</f>
        <v>660.89499999999998</v>
      </c>
      <c r="P20" s="70">
        <f t="shared" ref="P20:P37" si="4">SUM(N20:O20)</f>
        <v>1321.79</v>
      </c>
      <c r="Q20" s="53">
        <v>2</v>
      </c>
      <c r="R20" s="70">
        <v>120</v>
      </c>
      <c r="S20" s="53">
        <v>0</v>
      </c>
      <c r="T20" s="70">
        <v>0</v>
      </c>
      <c r="U20" s="70">
        <f t="shared" si="1"/>
        <v>240</v>
      </c>
      <c r="V20" s="70">
        <f>U20+P20</f>
        <v>1561.79</v>
      </c>
      <c r="W20" s="70">
        <f t="shared" si="3"/>
        <v>1561.79</v>
      </c>
      <c r="X20" s="53"/>
    </row>
    <row r="21" spans="1:47" ht="25" x14ac:dyDescent="0.3">
      <c r="A21" s="53" t="s">
        <v>372</v>
      </c>
      <c r="B21" s="76" t="s">
        <v>398</v>
      </c>
      <c r="C21" s="76" t="s">
        <v>460</v>
      </c>
      <c r="D21" s="56" t="s">
        <v>489</v>
      </c>
      <c r="E21" s="66" t="s">
        <v>490</v>
      </c>
      <c r="F21" s="53" t="s">
        <v>472</v>
      </c>
      <c r="G21" s="53" t="s">
        <v>31</v>
      </c>
      <c r="H21" s="53" t="s">
        <v>32</v>
      </c>
      <c r="I21" s="53" t="s">
        <v>33</v>
      </c>
      <c r="J21" s="53" t="s">
        <v>111</v>
      </c>
      <c r="K21" s="53" t="s">
        <v>112</v>
      </c>
      <c r="L21" s="69">
        <v>43690</v>
      </c>
      <c r="M21" s="69">
        <v>43693</v>
      </c>
      <c r="N21" s="70">
        <f>913.01/2</f>
        <v>456.505</v>
      </c>
      <c r="O21" s="70">
        <f>913.01/2</f>
        <v>456.505</v>
      </c>
      <c r="P21" s="70">
        <f t="shared" si="4"/>
        <v>913.01</v>
      </c>
      <c r="Q21" s="53">
        <v>4</v>
      </c>
      <c r="R21" s="70">
        <v>120</v>
      </c>
      <c r="S21" s="53">
        <v>0</v>
      </c>
      <c r="T21" s="70">
        <v>0</v>
      </c>
      <c r="U21" s="70">
        <f t="shared" ref="U21:U37" si="5">(Q21*R21)+(S21*T21)</f>
        <v>480</v>
      </c>
      <c r="V21" s="70">
        <f t="shared" ref="V21:V37" si="6">U21+P21</f>
        <v>1393.01</v>
      </c>
      <c r="W21" s="70">
        <f t="shared" si="3"/>
        <v>1393.01</v>
      </c>
      <c r="X21" s="53"/>
    </row>
    <row r="22" spans="1:47" ht="25" x14ac:dyDescent="0.3">
      <c r="A22" s="53" t="s">
        <v>372</v>
      </c>
      <c r="B22" s="76" t="s">
        <v>398</v>
      </c>
      <c r="C22" s="76" t="s">
        <v>266</v>
      </c>
      <c r="D22" s="29" t="s">
        <v>153</v>
      </c>
      <c r="E22" s="20" t="s">
        <v>405</v>
      </c>
      <c r="F22" s="53" t="s">
        <v>468</v>
      </c>
      <c r="G22" s="53" t="s">
        <v>31</v>
      </c>
      <c r="H22" s="53" t="s">
        <v>32</v>
      </c>
      <c r="I22" s="53" t="s">
        <v>33</v>
      </c>
      <c r="J22" s="53" t="s">
        <v>316</v>
      </c>
      <c r="K22" s="53" t="s">
        <v>39</v>
      </c>
      <c r="L22" s="69">
        <v>43697</v>
      </c>
      <c r="M22" s="69">
        <v>43698</v>
      </c>
      <c r="N22" s="70">
        <f>1509.58/2</f>
        <v>754.79</v>
      </c>
      <c r="O22" s="70">
        <f>1509.58/2</f>
        <v>754.79</v>
      </c>
      <c r="P22" s="70">
        <f t="shared" si="4"/>
        <v>1509.58</v>
      </c>
      <c r="Q22" s="53">
        <v>2</v>
      </c>
      <c r="R22" s="70">
        <v>120</v>
      </c>
      <c r="S22" s="53">
        <v>0</v>
      </c>
      <c r="T22" s="70">
        <v>0</v>
      </c>
      <c r="U22" s="70">
        <f t="shared" si="5"/>
        <v>240</v>
      </c>
      <c r="V22" s="70">
        <f t="shared" si="6"/>
        <v>1749.58</v>
      </c>
      <c r="W22" s="70">
        <f t="shared" si="3"/>
        <v>1749.58</v>
      </c>
      <c r="X22" s="53"/>
    </row>
    <row r="23" spans="1:47" ht="37.5" x14ac:dyDescent="0.3">
      <c r="A23" s="53" t="s">
        <v>372</v>
      </c>
      <c r="B23" s="77" t="s">
        <v>238</v>
      </c>
      <c r="C23" s="76" t="s">
        <v>471</v>
      </c>
      <c r="D23" s="29" t="s">
        <v>148</v>
      </c>
      <c r="E23" s="20" t="s">
        <v>493</v>
      </c>
      <c r="F23" s="53" t="s">
        <v>473</v>
      </c>
      <c r="G23" s="53" t="s">
        <v>31</v>
      </c>
      <c r="H23" s="53" t="s">
        <v>32</v>
      </c>
      <c r="I23" s="53" t="s">
        <v>33</v>
      </c>
      <c r="J23" s="53" t="s">
        <v>316</v>
      </c>
      <c r="K23" s="53" t="s">
        <v>39</v>
      </c>
      <c r="L23" s="69">
        <v>43697</v>
      </c>
      <c r="M23" s="69">
        <v>43698</v>
      </c>
      <c r="N23" s="70">
        <f>1517.28/2</f>
        <v>758.64</v>
      </c>
      <c r="O23" s="70">
        <f>1517.28/2</f>
        <v>758.64</v>
      </c>
      <c r="P23" s="70">
        <f t="shared" si="4"/>
        <v>1517.28</v>
      </c>
      <c r="Q23" s="53">
        <v>2</v>
      </c>
      <c r="R23" s="70">
        <v>120</v>
      </c>
      <c r="S23" s="53">
        <v>2</v>
      </c>
      <c r="T23" s="70">
        <v>100</v>
      </c>
      <c r="U23" s="70">
        <f t="shared" si="5"/>
        <v>440</v>
      </c>
      <c r="V23" s="70">
        <f t="shared" si="6"/>
        <v>1957.28</v>
      </c>
      <c r="W23" s="70">
        <f t="shared" si="3"/>
        <v>1957.28</v>
      </c>
      <c r="X23" s="53"/>
    </row>
    <row r="24" spans="1:47" ht="25" x14ac:dyDescent="0.3">
      <c r="A24" s="53" t="s">
        <v>372</v>
      </c>
      <c r="B24" s="76" t="s">
        <v>238</v>
      </c>
      <c r="C24" s="76" t="s">
        <v>135</v>
      </c>
      <c r="D24" s="29" t="s">
        <v>151</v>
      </c>
      <c r="E24" s="20" t="s">
        <v>411</v>
      </c>
      <c r="F24" s="53" t="s">
        <v>473</v>
      </c>
      <c r="G24" s="53" t="s">
        <v>31</v>
      </c>
      <c r="H24" s="53" t="s">
        <v>32</v>
      </c>
      <c r="I24" s="53" t="s">
        <v>33</v>
      </c>
      <c r="J24" s="53" t="s">
        <v>316</v>
      </c>
      <c r="K24" s="53" t="s">
        <v>39</v>
      </c>
      <c r="L24" s="69">
        <v>43697</v>
      </c>
      <c r="M24" s="69">
        <v>43698</v>
      </c>
      <c r="N24" s="70">
        <f>1517.28/2</f>
        <v>758.64</v>
      </c>
      <c r="O24" s="70">
        <f>1517.28/2</f>
        <v>758.64</v>
      </c>
      <c r="P24" s="70">
        <f t="shared" si="4"/>
        <v>1517.28</v>
      </c>
      <c r="Q24" s="53">
        <v>4</v>
      </c>
      <c r="R24" s="70">
        <v>120</v>
      </c>
      <c r="S24" s="53">
        <v>0</v>
      </c>
      <c r="T24" s="70">
        <v>0</v>
      </c>
      <c r="U24" s="70">
        <f t="shared" si="5"/>
        <v>480</v>
      </c>
      <c r="V24" s="70">
        <f t="shared" si="6"/>
        <v>1997.28</v>
      </c>
      <c r="W24" s="70">
        <f t="shared" si="3"/>
        <v>1997.28</v>
      </c>
      <c r="X24" s="53"/>
    </row>
    <row r="25" spans="1:47" ht="15" customHeight="1" x14ac:dyDescent="0.3">
      <c r="A25" s="53" t="s">
        <v>372</v>
      </c>
      <c r="B25" s="76" t="s">
        <v>300</v>
      </c>
      <c r="C25" s="76" t="s">
        <v>474</v>
      </c>
      <c r="D25" s="29" t="s">
        <v>494</v>
      </c>
      <c r="E25" s="20" t="s">
        <v>492</v>
      </c>
      <c r="F25" s="53" t="s">
        <v>476</v>
      </c>
      <c r="G25" s="53" t="s">
        <v>31</v>
      </c>
      <c r="H25" s="53" t="s">
        <v>32</v>
      </c>
      <c r="I25" s="53" t="s">
        <v>33</v>
      </c>
      <c r="J25" s="53" t="s">
        <v>316</v>
      </c>
      <c r="K25" s="53" t="s">
        <v>39</v>
      </c>
      <c r="L25" s="69">
        <v>43690</v>
      </c>
      <c r="M25" s="69">
        <v>43692</v>
      </c>
      <c r="N25" s="70">
        <f>1712.38/2</f>
        <v>856.19</v>
      </c>
      <c r="O25" s="70">
        <f>1712.38/2</f>
        <v>856.19</v>
      </c>
      <c r="P25" s="70">
        <f t="shared" si="4"/>
        <v>1712.38</v>
      </c>
      <c r="Q25" s="53">
        <v>3</v>
      </c>
      <c r="R25" s="70">
        <v>120</v>
      </c>
      <c r="S25" s="53">
        <v>3</v>
      </c>
      <c r="T25" s="70">
        <v>100</v>
      </c>
      <c r="U25" s="70">
        <f t="shared" si="5"/>
        <v>660</v>
      </c>
      <c r="V25" s="70">
        <f t="shared" si="6"/>
        <v>2372.38</v>
      </c>
      <c r="W25" s="70">
        <f t="shared" si="3"/>
        <v>2372.38</v>
      </c>
      <c r="X25" s="53"/>
    </row>
    <row r="26" spans="1:47" ht="50" x14ac:dyDescent="0.3">
      <c r="A26" s="53" t="s">
        <v>372</v>
      </c>
      <c r="B26" s="76" t="s">
        <v>300</v>
      </c>
      <c r="C26" s="76" t="s">
        <v>475</v>
      </c>
      <c r="D26" s="29" t="s">
        <v>305</v>
      </c>
      <c r="E26" s="20" t="s">
        <v>495</v>
      </c>
      <c r="F26" s="53" t="s">
        <v>476</v>
      </c>
      <c r="G26" s="53" t="s">
        <v>31</v>
      </c>
      <c r="H26" s="53" t="s">
        <v>32</v>
      </c>
      <c r="I26" s="53" t="s">
        <v>33</v>
      </c>
      <c r="J26" s="53" t="s">
        <v>316</v>
      </c>
      <c r="K26" s="53" t="s">
        <v>39</v>
      </c>
      <c r="L26" s="69">
        <v>43690</v>
      </c>
      <c r="M26" s="69">
        <v>43692</v>
      </c>
      <c r="N26" s="70">
        <f>1712.38/2</f>
        <v>856.19</v>
      </c>
      <c r="O26" s="70">
        <f>1712.38/2</f>
        <v>856.19</v>
      </c>
      <c r="P26" s="70">
        <f t="shared" si="4"/>
        <v>1712.38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5"/>
        <v>660</v>
      </c>
      <c r="V26" s="70">
        <f t="shared" si="6"/>
        <v>2372.38</v>
      </c>
      <c r="W26" s="70">
        <f t="shared" si="3"/>
        <v>2372.38</v>
      </c>
      <c r="X26" s="53"/>
    </row>
    <row r="27" spans="1:47" ht="25" x14ac:dyDescent="0.3">
      <c r="A27" s="53" t="s">
        <v>229</v>
      </c>
      <c r="B27" s="76" t="s">
        <v>215</v>
      </c>
      <c r="C27" s="76" t="s">
        <v>48</v>
      </c>
      <c r="D27" s="29" t="s">
        <v>81</v>
      </c>
      <c r="E27" s="20" t="s">
        <v>56</v>
      </c>
      <c r="F27" s="53" t="s">
        <v>477</v>
      </c>
      <c r="G27" s="53" t="s">
        <v>31</v>
      </c>
      <c r="H27" s="53" t="s">
        <v>32</v>
      </c>
      <c r="I27" s="53" t="s">
        <v>33</v>
      </c>
      <c r="J27" s="53" t="s">
        <v>111</v>
      </c>
      <c r="K27" s="53" t="s">
        <v>112</v>
      </c>
      <c r="L27" s="69">
        <v>43684</v>
      </c>
      <c r="M27" s="69">
        <v>43685</v>
      </c>
      <c r="N27" s="70">
        <f>1364.01/2</f>
        <v>682.005</v>
      </c>
      <c r="O27" s="70">
        <f>1364.01/2</f>
        <v>682.005</v>
      </c>
      <c r="P27" s="70">
        <f t="shared" si="4"/>
        <v>1364.01</v>
      </c>
      <c r="Q27" s="53">
        <v>2</v>
      </c>
      <c r="R27" s="70">
        <v>120</v>
      </c>
      <c r="S27" s="53">
        <v>0</v>
      </c>
      <c r="T27" s="70">
        <v>0</v>
      </c>
      <c r="U27" s="70">
        <f t="shared" si="5"/>
        <v>240</v>
      </c>
      <c r="V27" s="70">
        <f t="shared" si="6"/>
        <v>1604.01</v>
      </c>
      <c r="W27" s="70">
        <f t="shared" si="3"/>
        <v>1604.01</v>
      </c>
      <c r="X27" s="53"/>
    </row>
    <row r="28" spans="1:47" ht="25" x14ac:dyDescent="0.3">
      <c r="A28" s="53" t="s">
        <v>250</v>
      </c>
      <c r="B28" s="76" t="s">
        <v>250</v>
      </c>
      <c r="C28" s="76" t="s">
        <v>319</v>
      </c>
      <c r="D28" s="56" t="s">
        <v>324</v>
      </c>
      <c r="E28" s="20" t="s">
        <v>352</v>
      </c>
      <c r="F28" s="53" t="s">
        <v>477</v>
      </c>
      <c r="G28" s="53" t="s">
        <v>31</v>
      </c>
      <c r="H28" s="53" t="s">
        <v>32</v>
      </c>
      <c r="I28" s="53" t="s">
        <v>33</v>
      </c>
      <c r="J28" s="53" t="s">
        <v>111</v>
      </c>
      <c r="K28" s="53" t="s">
        <v>112</v>
      </c>
      <c r="L28" s="69">
        <v>43684</v>
      </c>
      <c r="M28" s="69">
        <v>43685</v>
      </c>
      <c r="N28" s="70">
        <f>1364.01/2</f>
        <v>682.005</v>
      </c>
      <c r="O28" s="70">
        <f>1364.01/2</f>
        <v>682.005</v>
      </c>
      <c r="P28" s="70">
        <f t="shared" si="4"/>
        <v>1364.01</v>
      </c>
      <c r="Q28" s="53">
        <v>2</v>
      </c>
      <c r="R28" s="70">
        <v>120</v>
      </c>
      <c r="S28" s="53">
        <v>0</v>
      </c>
      <c r="T28" s="70">
        <v>0</v>
      </c>
      <c r="U28" s="70">
        <f t="shared" si="5"/>
        <v>240</v>
      </c>
      <c r="V28" s="70">
        <f t="shared" si="6"/>
        <v>1604.01</v>
      </c>
      <c r="W28" s="70">
        <f t="shared" si="3"/>
        <v>1604.01</v>
      </c>
      <c r="X28" s="53"/>
    </row>
    <row r="29" spans="1:47" ht="25" x14ac:dyDescent="0.3">
      <c r="A29" s="53" t="s">
        <v>250</v>
      </c>
      <c r="B29" s="76" t="s">
        <v>250</v>
      </c>
      <c r="C29" s="76" t="s">
        <v>478</v>
      </c>
      <c r="D29" s="29" t="s">
        <v>74</v>
      </c>
      <c r="E29" s="20" t="s">
        <v>55</v>
      </c>
      <c r="F29" s="53" t="s">
        <v>479</v>
      </c>
      <c r="G29" s="53" t="s">
        <v>31</v>
      </c>
      <c r="H29" s="53" t="s">
        <v>32</v>
      </c>
      <c r="I29" s="53" t="s">
        <v>33</v>
      </c>
      <c r="J29" s="53" t="s">
        <v>316</v>
      </c>
      <c r="K29" s="53" t="s">
        <v>39</v>
      </c>
      <c r="L29" s="69">
        <v>43688</v>
      </c>
      <c r="M29" s="69">
        <v>43689</v>
      </c>
      <c r="N29" s="70">
        <f>2499.98/2</f>
        <v>1249.99</v>
      </c>
      <c r="O29" s="70">
        <f>2499.98/2</f>
        <v>1249.99</v>
      </c>
      <c r="P29" s="70">
        <f t="shared" si="4"/>
        <v>2499.98</v>
      </c>
      <c r="Q29" s="53"/>
      <c r="R29" s="70"/>
      <c r="S29" s="53"/>
      <c r="T29" s="70"/>
      <c r="U29" s="70">
        <f t="shared" si="5"/>
        <v>0</v>
      </c>
      <c r="V29" s="70">
        <f t="shared" si="6"/>
        <v>2499.98</v>
      </c>
      <c r="W29" s="70">
        <f t="shared" si="3"/>
        <v>2499.98</v>
      </c>
      <c r="X29" s="53"/>
    </row>
    <row r="30" spans="1:47" ht="25" x14ac:dyDescent="0.3">
      <c r="A30" s="53" t="s">
        <v>250</v>
      </c>
      <c r="B30" s="76" t="s">
        <v>250</v>
      </c>
      <c r="C30" s="76" t="s">
        <v>319</v>
      </c>
      <c r="D30" s="56" t="s">
        <v>324</v>
      </c>
      <c r="E30" s="20" t="s">
        <v>352</v>
      </c>
      <c r="F30" s="53" t="s">
        <v>479</v>
      </c>
      <c r="G30" s="53" t="s">
        <v>31</v>
      </c>
      <c r="H30" s="53" t="s">
        <v>32</v>
      </c>
      <c r="I30" s="53" t="s">
        <v>33</v>
      </c>
      <c r="J30" s="53" t="s">
        <v>316</v>
      </c>
      <c r="K30" s="53" t="s">
        <v>39</v>
      </c>
      <c r="L30" s="69">
        <v>43688</v>
      </c>
      <c r="M30" s="69">
        <v>43689</v>
      </c>
      <c r="N30" s="70">
        <f>2499.98/2</f>
        <v>1249.99</v>
      </c>
      <c r="O30" s="70">
        <f>2499.98/2</f>
        <v>1249.99</v>
      </c>
      <c r="P30" s="70">
        <f t="shared" si="4"/>
        <v>2499.98</v>
      </c>
      <c r="Q30" s="53">
        <v>2</v>
      </c>
      <c r="R30" s="70">
        <v>120</v>
      </c>
      <c r="S30" s="53"/>
      <c r="T30" s="70"/>
      <c r="U30" s="70">
        <f t="shared" si="5"/>
        <v>240</v>
      </c>
      <c r="V30" s="70">
        <f t="shared" si="6"/>
        <v>2739.98</v>
      </c>
      <c r="W30" s="70">
        <f t="shared" si="3"/>
        <v>2739.98</v>
      </c>
      <c r="X30" s="53"/>
    </row>
    <row r="31" spans="1:47" ht="25" x14ac:dyDescent="0.3">
      <c r="A31" s="53" t="s">
        <v>229</v>
      </c>
      <c r="B31" s="76" t="s">
        <v>302</v>
      </c>
      <c r="C31" s="76" t="s">
        <v>436</v>
      </c>
      <c r="D31" s="29" t="s">
        <v>442</v>
      </c>
      <c r="E31" s="20" t="s">
        <v>496</v>
      </c>
      <c r="F31" s="71" t="s">
        <v>480</v>
      </c>
      <c r="G31" s="53" t="s">
        <v>31</v>
      </c>
      <c r="H31" s="53" t="s">
        <v>32</v>
      </c>
      <c r="I31" s="53" t="s">
        <v>33</v>
      </c>
      <c r="J31" s="53" t="s">
        <v>316</v>
      </c>
      <c r="K31" s="53" t="s">
        <v>39</v>
      </c>
      <c r="L31" s="69">
        <v>43705</v>
      </c>
      <c r="M31" s="69">
        <v>43706</v>
      </c>
      <c r="N31" s="70">
        <f>1813.58/2</f>
        <v>906.79</v>
      </c>
      <c r="O31" s="70">
        <f>1813.58/2</f>
        <v>906.79</v>
      </c>
      <c r="P31" s="70">
        <f t="shared" si="4"/>
        <v>1813.58</v>
      </c>
      <c r="Q31" s="53">
        <v>2</v>
      </c>
      <c r="R31" s="70">
        <v>120</v>
      </c>
      <c r="S31" s="53"/>
      <c r="T31" s="70"/>
      <c r="U31" s="70">
        <f t="shared" si="5"/>
        <v>240</v>
      </c>
      <c r="V31" s="70">
        <f t="shared" si="6"/>
        <v>2053.58</v>
      </c>
      <c r="W31" s="70">
        <f t="shared" si="3"/>
        <v>2053.58</v>
      </c>
      <c r="X31" s="53"/>
    </row>
    <row r="32" spans="1:47" ht="37.5" x14ac:dyDescent="0.3">
      <c r="A32" s="53" t="s">
        <v>229</v>
      </c>
      <c r="B32" s="76" t="s">
        <v>227</v>
      </c>
      <c r="C32" s="76" t="s">
        <v>481</v>
      </c>
      <c r="D32" s="29" t="s">
        <v>497</v>
      </c>
      <c r="E32" s="20" t="s">
        <v>496</v>
      </c>
      <c r="F32" s="53" t="s">
        <v>482</v>
      </c>
      <c r="G32" s="53" t="s">
        <v>31</v>
      </c>
      <c r="H32" s="53" t="s">
        <v>32</v>
      </c>
      <c r="I32" s="53" t="s">
        <v>33</v>
      </c>
      <c r="J32" s="53" t="s">
        <v>61</v>
      </c>
      <c r="K32" s="53" t="s">
        <v>62</v>
      </c>
      <c r="L32" s="69">
        <v>43698</v>
      </c>
      <c r="M32" s="69">
        <v>43700</v>
      </c>
      <c r="N32" s="70">
        <f>1681.69/2</f>
        <v>840.84500000000003</v>
      </c>
      <c r="O32" s="70">
        <f>1681.69/2</f>
        <v>840.84500000000003</v>
      </c>
      <c r="P32" s="70">
        <f t="shared" si="4"/>
        <v>1681.69</v>
      </c>
      <c r="Q32" s="53">
        <v>3</v>
      </c>
      <c r="R32" s="70">
        <v>120</v>
      </c>
      <c r="S32" s="53"/>
      <c r="T32" s="70"/>
      <c r="U32" s="70">
        <f t="shared" si="5"/>
        <v>360</v>
      </c>
      <c r="V32" s="70">
        <f t="shared" si="6"/>
        <v>2041.69</v>
      </c>
      <c r="W32" s="70">
        <f t="shared" si="3"/>
        <v>2041.69</v>
      </c>
      <c r="X32" s="53"/>
    </row>
    <row r="33" spans="1:24" ht="25" x14ac:dyDescent="0.3">
      <c r="A33" s="53" t="s">
        <v>250</v>
      </c>
      <c r="B33" s="76" t="s">
        <v>212</v>
      </c>
      <c r="C33" s="76" t="s">
        <v>98</v>
      </c>
      <c r="D33" s="29" t="s">
        <v>99</v>
      </c>
      <c r="E33" s="20" t="s">
        <v>498</v>
      </c>
      <c r="F33" s="53" t="s">
        <v>483</v>
      </c>
      <c r="G33" s="53" t="s">
        <v>31</v>
      </c>
      <c r="H33" s="53" t="s">
        <v>32</v>
      </c>
      <c r="I33" s="53" t="s">
        <v>33</v>
      </c>
      <c r="J33" s="53" t="s">
        <v>61</v>
      </c>
      <c r="K33" s="53" t="s">
        <v>413</v>
      </c>
      <c r="L33" s="69">
        <v>43702</v>
      </c>
      <c r="M33" s="69">
        <v>43706</v>
      </c>
      <c r="N33" s="70">
        <f>1896.52/2</f>
        <v>948.26</v>
      </c>
      <c r="O33" s="70">
        <f>1896.52/2</f>
        <v>948.26</v>
      </c>
      <c r="P33" s="70">
        <f t="shared" si="4"/>
        <v>1896.52</v>
      </c>
      <c r="Q33" s="53"/>
      <c r="R33" s="70"/>
      <c r="S33" s="53">
        <v>11</v>
      </c>
      <c r="T33" s="70">
        <v>100</v>
      </c>
      <c r="U33" s="70">
        <f t="shared" si="5"/>
        <v>1100</v>
      </c>
      <c r="V33" s="70">
        <f t="shared" si="6"/>
        <v>2996.52</v>
      </c>
      <c r="W33" s="70">
        <f t="shared" si="3"/>
        <v>2996.52</v>
      </c>
      <c r="X33" s="53"/>
    </row>
    <row r="34" spans="1:24" ht="25" x14ac:dyDescent="0.3">
      <c r="A34" s="53" t="s">
        <v>372</v>
      </c>
      <c r="B34" s="76" t="s">
        <v>238</v>
      </c>
      <c r="C34" s="76" t="s">
        <v>135</v>
      </c>
      <c r="D34" s="29" t="s">
        <v>151</v>
      </c>
      <c r="E34" s="20" t="s">
        <v>411</v>
      </c>
      <c r="F34" s="53" t="s">
        <v>484</v>
      </c>
      <c r="G34" s="53" t="s">
        <v>31</v>
      </c>
      <c r="H34" s="53" t="s">
        <v>32</v>
      </c>
      <c r="I34" s="53" t="s">
        <v>33</v>
      </c>
      <c r="J34" s="53" t="s">
        <v>316</v>
      </c>
      <c r="K34" s="53" t="s">
        <v>39</v>
      </c>
      <c r="L34" s="69">
        <v>43688</v>
      </c>
      <c r="M34" s="69">
        <v>43689</v>
      </c>
      <c r="N34" s="70">
        <f>2391.78/2</f>
        <v>1195.8900000000001</v>
      </c>
      <c r="O34" s="70">
        <f>2391.78/2</f>
        <v>1195.8900000000001</v>
      </c>
      <c r="P34" s="70">
        <f t="shared" si="4"/>
        <v>2391.7800000000002</v>
      </c>
      <c r="Q34" s="53">
        <v>5</v>
      </c>
      <c r="R34" s="70">
        <v>120</v>
      </c>
      <c r="S34" s="53"/>
      <c r="T34" s="70"/>
      <c r="U34" s="70">
        <f t="shared" si="5"/>
        <v>600</v>
      </c>
      <c r="V34" s="70">
        <f t="shared" si="6"/>
        <v>2991.78</v>
      </c>
      <c r="W34" s="70">
        <f t="shared" si="3"/>
        <v>2991.78</v>
      </c>
      <c r="X34" s="53"/>
    </row>
    <row r="35" spans="1:24" ht="25" x14ac:dyDescent="0.3">
      <c r="A35" s="53" t="s">
        <v>250</v>
      </c>
      <c r="B35" s="76" t="s">
        <v>289</v>
      </c>
      <c r="C35" s="76" t="s">
        <v>371</v>
      </c>
      <c r="D35" s="29" t="s">
        <v>382</v>
      </c>
      <c r="E35" s="20" t="s">
        <v>498</v>
      </c>
      <c r="F35" s="53" t="s">
        <v>485</v>
      </c>
      <c r="G35" s="53" t="s">
        <v>31</v>
      </c>
      <c r="H35" s="53" t="s">
        <v>32</v>
      </c>
      <c r="I35" s="53" t="s">
        <v>33</v>
      </c>
      <c r="J35" s="53" t="s">
        <v>61</v>
      </c>
      <c r="K35" s="53" t="s">
        <v>62</v>
      </c>
      <c r="L35" s="69">
        <v>43689</v>
      </c>
      <c r="M35" s="69">
        <v>43691</v>
      </c>
      <c r="N35" s="70">
        <f>2260.5/2</f>
        <v>1130.25</v>
      </c>
      <c r="O35" s="70">
        <f>2260.5/2</f>
        <v>1130.25</v>
      </c>
      <c r="P35" s="70">
        <f t="shared" si="4"/>
        <v>2260.5</v>
      </c>
      <c r="Q35" s="53">
        <v>3</v>
      </c>
      <c r="R35" s="70">
        <v>120</v>
      </c>
      <c r="S35" s="53"/>
      <c r="T35" s="70"/>
      <c r="U35" s="70">
        <f t="shared" si="5"/>
        <v>360</v>
      </c>
      <c r="V35" s="70">
        <f t="shared" si="6"/>
        <v>2620.5</v>
      </c>
      <c r="W35" s="70">
        <f t="shared" si="3"/>
        <v>2620.5</v>
      </c>
      <c r="X35" s="53"/>
    </row>
    <row r="36" spans="1:24" ht="37.5" x14ac:dyDescent="0.3">
      <c r="A36" s="53" t="s">
        <v>250</v>
      </c>
      <c r="B36" s="76" t="s">
        <v>234</v>
      </c>
      <c r="C36" s="76" t="s">
        <v>236</v>
      </c>
      <c r="D36" s="29" t="s">
        <v>243</v>
      </c>
      <c r="E36" s="20" t="s">
        <v>499</v>
      </c>
      <c r="F36" s="53" t="s">
        <v>486</v>
      </c>
      <c r="G36" s="53" t="s">
        <v>31</v>
      </c>
      <c r="H36" s="53" t="s">
        <v>32</v>
      </c>
      <c r="I36" s="53" t="s">
        <v>33</v>
      </c>
      <c r="J36" s="53" t="s">
        <v>364</v>
      </c>
      <c r="K36" s="53" t="s">
        <v>363</v>
      </c>
      <c r="L36" s="69">
        <v>43698</v>
      </c>
      <c r="M36" s="69">
        <v>43700</v>
      </c>
      <c r="N36" s="70">
        <f>1029.37/2</f>
        <v>514.68499999999995</v>
      </c>
      <c r="O36" s="70">
        <f>1029.37/2</f>
        <v>514.68499999999995</v>
      </c>
      <c r="P36" s="70">
        <f t="shared" si="4"/>
        <v>1029.3699999999999</v>
      </c>
      <c r="Q36" s="53">
        <v>3</v>
      </c>
      <c r="R36" s="70">
        <v>120</v>
      </c>
      <c r="S36" s="53"/>
      <c r="T36" s="70"/>
      <c r="U36" s="70">
        <f t="shared" si="5"/>
        <v>360</v>
      </c>
      <c r="V36" s="70">
        <f t="shared" si="6"/>
        <v>1389.37</v>
      </c>
      <c r="W36" s="70">
        <f t="shared" si="3"/>
        <v>1389.37</v>
      </c>
      <c r="X36" s="53"/>
    </row>
    <row r="37" spans="1:24" ht="50" x14ac:dyDescent="0.3">
      <c r="A37" s="53" t="s">
        <v>229</v>
      </c>
      <c r="B37" s="76" t="s">
        <v>227</v>
      </c>
      <c r="C37" s="76" t="s">
        <v>64</v>
      </c>
      <c r="D37" s="29" t="s">
        <v>66</v>
      </c>
      <c r="E37" s="20" t="s">
        <v>500</v>
      </c>
      <c r="F37" s="53" t="s">
        <v>487</v>
      </c>
      <c r="G37" s="53" t="s">
        <v>31</v>
      </c>
      <c r="H37" s="53" t="s">
        <v>32</v>
      </c>
      <c r="I37" s="53" t="s">
        <v>33</v>
      </c>
      <c r="J37" s="53" t="s">
        <v>61</v>
      </c>
      <c r="K37" s="53" t="s">
        <v>413</v>
      </c>
      <c r="L37" s="69">
        <v>43692</v>
      </c>
      <c r="M37" s="69">
        <v>43695</v>
      </c>
      <c r="N37" s="70">
        <f>3137.61/2</f>
        <v>1568.8050000000001</v>
      </c>
      <c r="O37" s="70">
        <f>3137.61/2</f>
        <v>1568.8050000000001</v>
      </c>
      <c r="P37" s="70">
        <f t="shared" si="4"/>
        <v>3137.61</v>
      </c>
      <c r="Q37" s="53">
        <v>4</v>
      </c>
      <c r="R37" s="70">
        <v>120</v>
      </c>
      <c r="S37" s="53"/>
      <c r="T37" s="70"/>
      <c r="U37" s="70">
        <f t="shared" si="5"/>
        <v>480</v>
      </c>
      <c r="V37" s="70">
        <f t="shared" si="6"/>
        <v>3617.61</v>
      </c>
      <c r="W37" s="70">
        <f t="shared" si="3"/>
        <v>3617.61</v>
      </c>
      <c r="X3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37"/>
  <sheetViews>
    <sheetView topLeftCell="A6" workbookViewId="0">
      <selection activeCell="D5" sqref="D5:E6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6" t="s">
        <v>0</v>
      </c>
      <c r="W5" s="336"/>
      <c r="X5" s="72">
        <v>43586</v>
      </c>
    </row>
    <row r="6" spans="1:47" ht="14" x14ac:dyDescent="0.3">
      <c r="A6" s="337" t="s">
        <v>4</v>
      </c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</row>
    <row r="7" spans="1:47" ht="14" x14ac:dyDescent="0.3">
      <c r="A7" s="337" t="s">
        <v>5</v>
      </c>
      <c r="B7" s="337"/>
      <c r="C7" s="337" t="s">
        <v>6</v>
      </c>
      <c r="D7" s="337"/>
      <c r="E7" s="337"/>
      <c r="F7" s="337" t="s">
        <v>3</v>
      </c>
      <c r="G7" s="337"/>
      <c r="H7" s="337"/>
      <c r="I7" s="337"/>
      <c r="J7" s="337"/>
      <c r="K7" s="337"/>
      <c r="L7" s="337"/>
      <c r="M7" s="337"/>
      <c r="N7" s="337" t="s">
        <v>7</v>
      </c>
      <c r="O7" s="337"/>
      <c r="P7" s="337"/>
      <c r="Q7" s="337" t="s">
        <v>1</v>
      </c>
      <c r="R7" s="337"/>
      <c r="S7" s="337"/>
      <c r="T7" s="337"/>
      <c r="U7" s="337"/>
      <c r="V7" s="337"/>
      <c r="W7" s="337" t="s">
        <v>8</v>
      </c>
      <c r="X7" s="390" t="s">
        <v>9</v>
      </c>
    </row>
    <row r="8" spans="1:47" s="9" customFormat="1" ht="14" x14ac:dyDescent="0.3">
      <c r="A8" s="338" t="s">
        <v>10</v>
      </c>
      <c r="B8" s="338" t="s">
        <v>11</v>
      </c>
      <c r="C8" s="338" t="s">
        <v>12</v>
      </c>
      <c r="D8" s="338" t="s">
        <v>13</v>
      </c>
      <c r="E8" s="338" t="s">
        <v>14</v>
      </c>
      <c r="F8" s="338" t="s">
        <v>15</v>
      </c>
      <c r="G8" s="338" t="s">
        <v>16</v>
      </c>
      <c r="H8" s="338" t="s">
        <v>17</v>
      </c>
      <c r="I8" s="338"/>
      <c r="J8" s="339" t="s">
        <v>18</v>
      </c>
      <c r="K8" s="339"/>
      <c r="L8" s="338" t="s">
        <v>19</v>
      </c>
      <c r="M8" s="338" t="s">
        <v>20</v>
      </c>
      <c r="N8" s="339" t="s">
        <v>21</v>
      </c>
      <c r="O8" s="339" t="s">
        <v>22</v>
      </c>
      <c r="P8" s="339" t="s">
        <v>23</v>
      </c>
      <c r="Q8" s="339" t="s">
        <v>24</v>
      </c>
      <c r="R8" s="339"/>
      <c r="S8" s="339" t="s">
        <v>25</v>
      </c>
      <c r="T8" s="339"/>
      <c r="U8" s="338" t="s">
        <v>26</v>
      </c>
      <c r="V8" s="339" t="s">
        <v>23</v>
      </c>
      <c r="W8" s="337"/>
      <c r="X8" s="390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3">
      <c r="A9" s="338"/>
      <c r="B9" s="338"/>
      <c r="C9" s="338"/>
      <c r="D9" s="338"/>
      <c r="E9" s="338"/>
      <c r="F9" s="338"/>
      <c r="G9" s="338"/>
      <c r="H9" s="10" t="s">
        <v>27</v>
      </c>
      <c r="I9" s="10" t="s">
        <v>28</v>
      </c>
      <c r="J9" s="10" t="s">
        <v>27</v>
      </c>
      <c r="K9" s="11" t="s">
        <v>29</v>
      </c>
      <c r="L9" s="338"/>
      <c r="M9" s="338"/>
      <c r="N9" s="339"/>
      <c r="O9" s="339"/>
      <c r="P9" s="339"/>
      <c r="Q9" s="10" t="s">
        <v>2</v>
      </c>
      <c r="R9" s="11" t="s">
        <v>30</v>
      </c>
      <c r="S9" s="10" t="s">
        <v>2</v>
      </c>
      <c r="T9" s="11" t="s">
        <v>30</v>
      </c>
      <c r="U9" s="338"/>
      <c r="V9" s="339"/>
      <c r="W9" s="337"/>
      <c r="X9" s="391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" x14ac:dyDescent="0.3">
      <c r="A10" s="53" t="s">
        <v>229</v>
      </c>
      <c r="B10" s="76" t="s">
        <v>215</v>
      </c>
      <c r="C10" s="77" t="s">
        <v>276</v>
      </c>
      <c r="D10" s="29" t="s">
        <v>277</v>
      </c>
      <c r="E10" s="20" t="s">
        <v>511</v>
      </c>
      <c r="F10" s="53" t="s">
        <v>501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43726</v>
      </c>
      <c r="M10" s="69">
        <v>43727</v>
      </c>
      <c r="N10" s="70">
        <f>1366.1/2</f>
        <v>683.05</v>
      </c>
      <c r="O10" s="70">
        <f>1366.1/2</f>
        <v>683.05</v>
      </c>
      <c r="P10" s="70">
        <f t="shared" ref="P10:P37" si="0">SUM(N10:O10)</f>
        <v>1366.1</v>
      </c>
      <c r="Q10" s="53">
        <v>2</v>
      </c>
      <c r="R10" s="70">
        <v>120</v>
      </c>
      <c r="S10" s="53">
        <v>0</v>
      </c>
      <c r="T10" s="70">
        <v>0</v>
      </c>
      <c r="U10" s="70">
        <f>(Q10*R10)+(S10*T10)</f>
        <v>240</v>
      </c>
      <c r="V10" s="70">
        <f>U10+P10</f>
        <v>1606.1</v>
      </c>
      <c r="W10" s="70">
        <f>V10</f>
        <v>1606.1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" x14ac:dyDescent="0.3">
      <c r="A11" s="53" t="s">
        <v>229</v>
      </c>
      <c r="B11" s="76" t="s">
        <v>215</v>
      </c>
      <c r="C11" s="76" t="s">
        <v>48</v>
      </c>
      <c r="D11" s="29" t="s">
        <v>81</v>
      </c>
      <c r="E11" s="20" t="s">
        <v>56</v>
      </c>
      <c r="F11" s="53" t="s">
        <v>501</v>
      </c>
      <c r="G11" s="53" t="s">
        <v>31</v>
      </c>
      <c r="H11" s="53" t="s">
        <v>32</v>
      </c>
      <c r="I11" s="53" t="s">
        <v>33</v>
      </c>
      <c r="J11" s="53" t="s">
        <v>61</v>
      </c>
      <c r="K11" s="53" t="s">
        <v>62</v>
      </c>
      <c r="L11" s="69">
        <v>43726</v>
      </c>
      <c r="M11" s="69">
        <v>43727</v>
      </c>
      <c r="N11" s="70">
        <f>1366.1/2</f>
        <v>683.05</v>
      </c>
      <c r="O11" s="70">
        <f>1366.1/2</f>
        <v>683.05</v>
      </c>
      <c r="P11" s="70">
        <f t="shared" si="0"/>
        <v>1366.1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1846.1</v>
      </c>
      <c r="W11" s="70">
        <f t="shared" ref="W11:W37" si="3">V11</f>
        <v>1846.1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37.5" x14ac:dyDescent="0.3">
      <c r="A12" s="53" t="s">
        <v>372</v>
      </c>
      <c r="B12" s="76" t="s">
        <v>272</v>
      </c>
      <c r="C12" s="76" t="s">
        <v>191</v>
      </c>
      <c r="D12" s="29" t="s">
        <v>196</v>
      </c>
      <c r="E12" s="20" t="s">
        <v>209</v>
      </c>
      <c r="F12" s="53" t="s">
        <v>504</v>
      </c>
      <c r="G12" s="53" t="s">
        <v>31</v>
      </c>
      <c r="H12" s="53" t="s">
        <v>32</v>
      </c>
      <c r="I12" s="53" t="s">
        <v>33</v>
      </c>
      <c r="J12" s="53" t="s">
        <v>503</v>
      </c>
      <c r="K12" s="53" t="s">
        <v>502</v>
      </c>
      <c r="L12" s="69">
        <v>43725</v>
      </c>
      <c r="M12" s="69">
        <v>43728</v>
      </c>
      <c r="N12" s="70">
        <f>1590.3/2</f>
        <v>795.15</v>
      </c>
      <c r="O12" s="70">
        <f>1590.3/2</f>
        <v>795.15</v>
      </c>
      <c r="P12" s="70">
        <f t="shared" si="0"/>
        <v>1590.3</v>
      </c>
      <c r="Q12" s="53">
        <v>4</v>
      </c>
      <c r="R12" s="70">
        <v>120</v>
      </c>
      <c r="S12" s="53">
        <v>0</v>
      </c>
      <c r="T12" s="70">
        <v>0</v>
      </c>
      <c r="U12" s="70">
        <f t="shared" si="1"/>
        <v>480</v>
      </c>
      <c r="V12" s="70">
        <f t="shared" si="2"/>
        <v>2070.3000000000002</v>
      </c>
      <c r="W12" s="70">
        <f t="shared" si="3"/>
        <v>2070.3000000000002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25" x14ac:dyDescent="0.3">
      <c r="A13" s="53" t="s">
        <v>372</v>
      </c>
      <c r="B13" s="76" t="s">
        <v>272</v>
      </c>
      <c r="C13" s="76" t="s">
        <v>192</v>
      </c>
      <c r="D13" s="29" t="s">
        <v>197</v>
      </c>
      <c r="E13" s="20" t="s">
        <v>353</v>
      </c>
      <c r="F13" s="53" t="s">
        <v>504</v>
      </c>
      <c r="G13" s="53" t="s">
        <v>31</v>
      </c>
      <c r="H13" s="53" t="s">
        <v>32</v>
      </c>
      <c r="I13" s="53" t="s">
        <v>33</v>
      </c>
      <c r="J13" s="53" t="s">
        <v>503</v>
      </c>
      <c r="K13" s="53" t="s">
        <v>502</v>
      </c>
      <c r="L13" s="69">
        <v>43725</v>
      </c>
      <c r="M13" s="69">
        <v>43728</v>
      </c>
      <c r="N13" s="70">
        <f>1590.3/2</f>
        <v>795.15</v>
      </c>
      <c r="O13" s="70">
        <f>1590.3/2</f>
        <v>795.15</v>
      </c>
      <c r="P13" s="70">
        <f t="shared" si="0"/>
        <v>1590.3</v>
      </c>
      <c r="Q13" s="53">
        <v>6</v>
      </c>
      <c r="R13" s="70">
        <v>120</v>
      </c>
      <c r="S13" s="53">
        <v>0</v>
      </c>
      <c r="T13" s="70">
        <v>0</v>
      </c>
      <c r="U13" s="70">
        <f t="shared" si="1"/>
        <v>720</v>
      </c>
      <c r="V13" s="70">
        <f t="shared" si="2"/>
        <v>2310.3000000000002</v>
      </c>
      <c r="W13" s="70">
        <f t="shared" si="3"/>
        <v>2310.3000000000002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37.5" x14ac:dyDescent="0.3">
      <c r="A14" s="53" t="s">
        <v>372</v>
      </c>
      <c r="B14" s="76" t="s">
        <v>398</v>
      </c>
      <c r="C14" s="76" t="s">
        <v>144</v>
      </c>
      <c r="D14" s="56" t="s">
        <v>155</v>
      </c>
      <c r="E14" s="66" t="s">
        <v>510</v>
      </c>
      <c r="F14" s="53" t="s">
        <v>505</v>
      </c>
      <c r="G14" s="53" t="s">
        <v>31</v>
      </c>
      <c r="H14" s="53" t="s">
        <v>32</v>
      </c>
      <c r="I14" s="53" t="s">
        <v>33</v>
      </c>
      <c r="J14" s="53" t="s">
        <v>364</v>
      </c>
      <c r="K14" s="53" t="s">
        <v>363</v>
      </c>
      <c r="L14" s="69">
        <v>43712</v>
      </c>
      <c r="M14" s="69">
        <v>43713</v>
      </c>
      <c r="N14" s="70">
        <f>1386.87/2</f>
        <v>693.43499999999995</v>
      </c>
      <c r="O14" s="70">
        <f>1386.87/2</f>
        <v>693.43499999999995</v>
      </c>
      <c r="P14" s="70">
        <f t="shared" si="0"/>
        <v>1386.87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1626.87</v>
      </c>
      <c r="W14" s="70">
        <f t="shared" si="3"/>
        <v>1626.87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" x14ac:dyDescent="0.3">
      <c r="A15" s="53"/>
      <c r="B15" s="76" t="s">
        <v>214</v>
      </c>
      <c r="C15" s="76" t="s">
        <v>58</v>
      </c>
      <c r="D15" s="56" t="s">
        <v>59</v>
      </c>
      <c r="E15" s="20" t="s">
        <v>444</v>
      </c>
      <c r="F15" s="53" t="s">
        <v>506</v>
      </c>
      <c r="G15" s="53" t="s">
        <v>31</v>
      </c>
      <c r="H15" s="53" t="s">
        <v>32</v>
      </c>
      <c r="I15" s="53" t="s">
        <v>33</v>
      </c>
      <c r="J15" s="53" t="s">
        <v>61</v>
      </c>
      <c r="K15" s="53" t="s">
        <v>62</v>
      </c>
      <c r="L15" s="69">
        <v>43725</v>
      </c>
      <c r="M15" s="69">
        <v>43727</v>
      </c>
      <c r="N15" s="70">
        <f>1221.9/2</f>
        <v>610.95000000000005</v>
      </c>
      <c r="O15" s="70">
        <f>1221.9/2</f>
        <v>610.95000000000005</v>
      </c>
      <c r="P15" s="70">
        <f t="shared" si="0"/>
        <v>1221.9000000000001</v>
      </c>
      <c r="Q15" s="53">
        <v>6</v>
      </c>
      <c r="R15" s="70">
        <v>120</v>
      </c>
      <c r="S15" s="53">
        <v>0</v>
      </c>
      <c r="T15" s="70">
        <v>0</v>
      </c>
      <c r="U15" s="70">
        <f t="shared" si="1"/>
        <v>720</v>
      </c>
      <c r="V15" s="70">
        <f t="shared" si="2"/>
        <v>1941.9</v>
      </c>
      <c r="W15" s="70">
        <f t="shared" si="3"/>
        <v>1941.9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" x14ac:dyDescent="0.3">
      <c r="A16" s="53" t="s">
        <v>250</v>
      </c>
      <c r="B16" s="53" t="s">
        <v>250</v>
      </c>
      <c r="C16" s="76" t="s">
        <v>319</v>
      </c>
      <c r="D16" s="56" t="s">
        <v>324</v>
      </c>
      <c r="E16" s="20" t="s">
        <v>352</v>
      </c>
      <c r="F16" s="53" t="s">
        <v>507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43720</v>
      </c>
      <c r="M16" s="69">
        <v>43721</v>
      </c>
      <c r="N16" s="70">
        <f t="shared" ref="N16:O19" si="4">1297.79/2</f>
        <v>648.89499999999998</v>
      </c>
      <c r="O16" s="70">
        <f t="shared" si="4"/>
        <v>648.89499999999998</v>
      </c>
      <c r="P16" s="70">
        <f t="shared" si="0"/>
        <v>1297.79</v>
      </c>
      <c r="Q16" s="53">
        <v>2</v>
      </c>
      <c r="R16" s="70">
        <v>120</v>
      </c>
      <c r="S16" s="53">
        <v>0</v>
      </c>
      <c r="T16" s="70">
        <v>0</v>
      </c>
      <c r="U16" s="70">
        <f t="shared" si="1"/>
        <v>240</v>
      </c>
      <c r="V16" s="70">
        <f t="shared" si="2"/>
        <v>1537.79</v>
      </c>
      <c r="W16" s="70">
        <f t="shared" si="3"/>
        <v>1537.79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" x14ac:dyDescent="0.3">
      <c r="A17" s="53" t="s">
        <v>372</v>
      </c>
      <c r="B17" s="76" t="s">
        <v>372</v>
      </c>
      <c r="C17" s="76" t="s">
        <v>134</v>
      </c>
      <c r="D17" s="29" t="s">
        <v>149</v>
      </c>
      <c r="E17" s="20" t="s">
        <v>352</v>
      </c>
      <c r="F17" s="53" t="s">
        <v>507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43720</v>
      </c>
      <c r="M17" s="69">
        <v>43721</v>
      </c>
      <c r="N17" s="70">
        <f t="shared" si="4"/>
        <v>648.89499999999998</v>
      </c>
      <c r="O17" s="70">
        <f t="shared" si="4"/>
        <v>648.89499999999998</v>
      </c>
      <c r="P17" s="70">
        <f t="shared" si="0"/>
        <v>1297.79</v>
      </c>
      <c r="Q17" s="53">
        <v>2</v>
      </c>
      <c r="R17" s="70">
        <v>120</v>
      </c>
      <c r="S17" s="53">
        <v>0</v>
      </c>
      <c r="T17" s="70">
        <v>0</v>
      </c>
      <c r="U17" s="70">
        <f t="shared" si="1"/>
        <v>240</v>
      </c>
      <c r="V17" s="70">
        <f t="shared" si="2"/>
        <v>1537.79</v>
      </c>
      <c r="W17" s="70">
        <f t="shared" si="3"/>
        <v>1537.79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 x14ac:dyDescent="0.3">
      <c r="A18" s="53" t="s">
        <v>372</v>
      </c>
      <c r="B18" s="76" t="s">
        <v>372</v>
      </c>
      <c r="C18" s="76" t="s">
        <v>75</v>
      </c>
      <c r="D18" s="29" t="s">
        <v>74</v>
      </c>
      <c r="E18" s="20" t="s">
        <v>88</v>
      </c>
      <c r="F18" s="53" t="s">
        <v>507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43720</v>
      </c>
      <c r="M18" s="69">
        <v>43721</v>
      </c>
      <c r="N18" s="70">
        <f t="shared" si="4"/>
        <v>648.89499999999998</v>
      </c>
      <c r="O18" s="70">
        <f t="shared" si="4"/>
        <v>648.89499999999998</v>
      </c>
      <c r="P18" s="70">
        <f t="shared" si="0"/>
        <v>1297.79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1297.79</v>
      </c>
      <c r="W18" s="70">
        <f t="shared" si="3"/>
        <v>1297.79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" x14ac:dyDescent="0.3">
      <c r="A19" s="53" t="s">
        <v>229</v>
      </c>
      <c r="B19" s="76" t="s">
        <v>215</v>
      </c>
      <c r="C19" s="76" t="s">
        <v>48</v>
      </c>
      <c r="D19" s="29" t="s">
        <v>81</v>
      </c>
      <c r="E19" s="20" t="s">
        <v>56</v>
      </c>
      <c r="F19" s="53" t="s">
        <v>507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43720</v>
      </c>
      <c r="M19" s="69">
        <v>43721</v>
      </c>
      <c r="N19" s="70">
        <f t="shared" si="4"/>
        <v>648.89499999999998</v>
      </c>
      <c r="O19" s="70">
        <f t="shared" si="4"/>
        <v>648.89499999999998</v>
      </c>
      <c r="P19" s="70">
        <f t="shared" si="0"/>
        <v>1297.79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1"/>
        <v>480</v>
      </c>
      <c r="V19" s="70">
        <f t="shared" si="2"/>
        <v>1777.79</v>
      </c>
      <c r="W19" s="70">
        <f t="shared" si="3"/>
        <v>1777.79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" x14ac:dyDescent="0.3">
      <c r="A20" s="53" t="s">
        <v>250</v>
      </c>
      <c r="B20" s="53" t="s">
        <v>250</v>
      </c>
      <c r="C20" s="76" t="s">
        <v>478</v>
      </c>
      <c r="D20" s="56" t="s">
        <v>104</v>
      </c>
      <c r="E20" s="66" t="s">
        <v>55</v>
      </c>
      <c r="F20" s="53" t="s">
        <v>507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43720</v>
      </c>
      <c r="M20" s="69">
        <v>43723</v>
      </c>
      <c r="N20" s="70">
        <f>1817.69/2</f>
        <v>908.84500000000003</v>
      </c>
      <c r="O20" s="70">
        <f>1817.69/2</f>
        <v>908.84500000000003</v>
      </c>
      <c r="P20" s="70">
        <f t="shared" si="0"/>
        <v>1817.69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1817.69</v>
      </c>
      <c r="W20" s="70">
        <f t="shared" si="3"/>
        <v>1817.69</v>
      </c>
      <c r="X20" s="53"/>
    </row>
    <row r="21" spans="1:47" ht="25" x14ac:dyDescent="0.3">
      <c r="A21" s="53" t="s">
        <v>372</v>
      </c>
      <c r="B21" s="76" t="s">
        <v>238</v>
      </c>
      <c r="C21" s="76" t="s">
        <v>135</v>
      </c>
      <c r="D21" s="29" t="s">
        <v>151</v>
      </c>
      <c r="E21" s="20" t="s">
        <v>411</v>
      </c>
      <c r="F21" s="53" t="s">
        <v>507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43720</v>
      </c>
      <c r="M21" s="69">
        <v>43721</v>
      </c>
      <c r="N21" s="70">
        <f>1297.79/2</f>
        <v>648.89499999999998</v>
      </c>
      <c r="O21" s="70">
        <f>1297.79/2</f>
        <v>648.89499999999998</v>
      </c>
      <c r="P21" s="70">
        <f t="shared" si="0"/>
        <v>1297.79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1"/>
        <v>240</v>
      </c>
      <c r="V21" s="70">
        <f t="shared" si="2"/>
        <v>1537.79</v>
      </c>
      <c r="W21" s="70">
        <f t="shared" si="3"/>
        <v>1537.79</v>
      </c>
      <c r="X21" s="53"/>
    </row>
    <row r="22" spans="1:47" ht="25" x14ac:dyDescent="0.3">
      <c r="A22" s="53" t="s">
        <v>250</v>
      </c>
      <c r="B22" s="53" t="s">
        <v>250</v>
      </c>
      <c r="C22" s="76" t="s">
        <v>478</v>
      </c>
      <c r="D22" s="29" t="s">
        <v>104</v>
      </c>
      <c r="E22" s="66" t="s">
        <v>55</v>
      </c>
      <c r="F22" s="53" t="s">
        <v>508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43726</v>
      </c>
      <c r="M22" s="69">
        <v>43727</v>
      </c>
      <c r="N22" s="70">
        <f>1364.49/2</f>
        <v>682.245</v>
      </c>
      <c r="O22" s="70">
        <f>1364.49/2</f>
        <v>682.245</v>
      </c>
      <c r="P22" s="70">
        <f t="shared" si="0"/>
        <v>1364.49</v>
      </c>
      <c r="Q22" s="53">
        <v>0</v>
      </c>
      <c r="R22" s="70">
        <v>0</v>
      </c>
      <c r="S22" s="53">
        <v>0</v>
      </c>
      <c r="T22" s="70">
        <v>0</v>
      </c>
      <c r="U22" s="70">
        <f t="shared" si="1"/>
        <v>0</v>
      </c>
      <c r="V22" s="70">
        <f t="shared" si="2"/>
        <v>1364.49</v>
      </c>
      <c r="W22" s="70">
        <f t="shared" si="3"/>
        <v>1364.49</v>
      </c>
      <c r="X22" s="53"/>
    </row>
    <row r="23" spans="1:47" ht="25" x14ac:dyDescent="0.3">
      <c r="A23" s="53" t="s">
        <v>229</v>
      </c>
      <c r="B23" s="76" t="s">
        <v>215</v>
      </c>
      <c r="C23" s="76" t="s">
        <v>48</v>
      </c>
      <c r="D23" s="29" t="s">
        <v>81</v>
      </c>
      <c r="E23" s="20" t="s">
        <v>56</v>
      </c>
      <c r="F23" s="53" t="s">
        <v>228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43733</v>
      </c>
      <c r="M23" s="69">
        <v>43734</v>
      </c>
      <c r="N23" s="70">
        <f>2424.89/2</f>
        <v>1212.4449999999999</v>
      </c>
      <c r="O23" s="70">
        <f>2424.89/2</f>
        <v>1212.4449999999999</v>
      </c>
      <c r="P23" s="70">
        <f t="shared" si="0"/>
        <v>2424.89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2904.89</v>
      </c>
      <c r="W23" s="70">
        <f t="shared" si="3"/>
        <v>2904.89</v>
      </c>
      <c r="X23" s="53"/>
    </row>
    <row r="24" spans="1:47" ht="25" x14ac:dyDescent="0.3">
      <c r="A24" s="53" t="s">
        <v>250</v>
      </c>
      <c r="B24" s="76" t="s">
        <v>289</v>
      </c>
      <c r="C24" s="76" t="s">
        <v>108</v>
      </c>
      <c r="D24" s="29" t="s">
        <v>110</v>
      </c>
      <c r="E24" s="20" t="s">
        <v>349</v>
      </c>
      <c r="F24" s="53" t="s">
        <v>509</v>
      </c>
      <c r="G24" s="53" t="s">
        <v>31</v>
      </c>
      <c r="H24" s="53" t="s">
        <v>32</v>
      </c>
      <c r="I24" s="53" t="s">
        <v>33</v>
      </c>
      <c r="J24" s="53" t="s">
        <v>61</v>
      </c>
      <c r="K24" s="53" t="s">
        <v>62</v>
      </c>
      <c r="L24" s="69">
        <v>43737</v>
      </c>
      <c r="M24" s="69">
        <v>43742</v>
      </c>
      <c r="N24" s="70">
        <f>1955.32/2</f>
        <v>977.66</v>
      </c>
      <c r="O24" s="70">
        <f>1955.32/2</f>
        <v>977.66</v>
      </c>
      <c r="P24" s="70">
        <f t="shared" si="0"/>
        <v>1955.32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2675.3199999999997</v>
      </c>
      <c r="W24" s="70">
        <f t="shared" si="3"/>
        <v>2675.3199999999997</v>
      </c>
      <c r="X24" s="53"/>
    </row>
    <row r="25" spans="1:47" ht="15" customHeight="1" x14ac:dyDescent="0.3">
      <c r="A25" s="53"/>
      <c r="B25" s="76"/>
      <c r="C25" s="76"/>
      <c r="D25" s="29"/>
      <c r="E25" s="20"/>
      <c r="F25" s="53"/>
      <c r="G25" s="53"/>
      <c r="H25" s="53"/>
      <c r="I25" s="53"/>
      <c r="J25" s="53"/>
      <c r="K25" s="53"/>
      <c r="L25" s="69"/>
      <c r="M25" s="69"/>
      <c r="N25" s="70"/>
      <c r="O25" s="70"/>
      <c r="P25" s="70">
        <f t="shared" si="0"/>
        <v>0</v>
      </c>
      <c r="Q25" s="53"/>
      <c r="R25" s="70"/>
      <c r="S25" s="53"/>
      <c r="T25" s="70"/>
      <c r="U25" s="70">
        <f t="shared" si="1"/>
        <v>0</v>
      </c>
      <c r="V25" s="70">
        <f t="shared" si="2"/>
        <v>0</v>
      </c>
      <c r="W25" s="70">
        <f t="shared" si="3"/>
        <v>0</v>
      </c>
      <c r="X25" s="53"/>
    </row>
    <row r="26" spans="1:47" ht="14.5" x14ac:dyDescent="0.3">
      <c r="A26" s="53"/>
      <c r="B26" s="76"/>
      <c r="C26" s="76"/>
      <c r="D26" s="29"/>
      <c r="E26" s="20"/>
      <c r="F26" s="53"/>
      <c r="G26" s="53"/>
      <c r="H26" s="53"/>
      <c r="I26" s="53"/>
      <c r="J26" s="53"/>
      <c r="K26" s="53"/>
      <c r="L26" s="69"/>
      <c r="M26" s="69"/>
      <c r="N26" s="70"/>
      <c r="O26" s="70"/>
      <c r="P26" s="70">
        <f t="shared" si="0"/>
        <v>0</v>
      </c>
      <c r="Q26" s="53"/>
      <c r="R26" s="70"/>
      <c r="S26" s="53"/>
      <c r="T26" s="70"/>
      <c r="U26" s="70">
        <f t="shared" si="1"/>
        <v>0</v>
      </c>
      <c r="V26" s="70">
        <f t="shared" si="2"/>
        <v>0</v>
      </c>
      <c r="W26" s="70">
        <f t="shared" si="3"/>
        <v>0</v>
      </c>
      <c r="X26" s="53"/>
    </row>
    <row r="27" spans="1:47" ht="14.5" x14ac:dyDescent="0.3">
      <c r="A27" s="53"/>
      <c r="B27" s="76"/>
      <c r="C27" s="76"/>
      <c r="D27" s="29"/>
      <c r="E27" s="20"/>
      <c r="F27" s="53"/>
      <c r="G27" s="53"/>
      <c r="H27" s="53"/>
      <c r="I27" s="53"/>
      <c r="J27" s="53"/>
      <c r="K27" s="53"/>
      <c r="L27" s="69"/>
      <c r="M27" s="69"/>
      <c r="N27" s="70"/>
      <c r="O27" s="70"/>
      <c r="P27" s="70">
        <f t="shared" si="0"/>
        <v>0</v>
      </c>
      <c r="Q27" s="53"/>
      <c r="R27" s="70"/>
      <c r="S27" s="53"/>
      <c r="T27" s="70"/>
      <c r="U27" s="70">
        <f t="shared" si="1"/>
        <v>0</v>
      </c>
      <c r="V27" s="70">
        <f t="shared" si="2"/>
        <v>0</v>
      </c>
      <c r="W27" s="70">
        <f t="shared" si="3"/>
        <v>0</v>
      </c>
      <c r="X27" s="53"/>
    </row>
    <row r="28" spans="1:47" ht="14.5" x14ac:dyDescent="0.3">
      <c r="A28" s="53"/>
      <c r="B28" s="76"/>
      <c r="C28" s="76"/>
      <c r="D28" s="56"/>
      <c r="E28" s="20"/>
      <c r="F28" s="53"/>
      <c r="G28" s="53"/>
      <c r="H28" s="53"/>
      <c r="I28" s="53"/>
      <c r="J28" s="53"/>
      <c r="K28" s="53"/>
      <c r="L28" s="69"/>
      <c r="M28" s="69"/>
      <c r="N28" s="70"/>
      <c r="O28" s="70"/>
      <c r="P28" s="70">
        <f t="shared" si="0"/>
        <v>0</v>
      </c>
      <c r="Q28" s="53"/>
      <c r="R28" s="70"/>
      <c r="S28" s="53"/>
      <c r="T28" s="70"/>
      <c r="U28" s="70">
        <f t="shared" si="1"/>
        <v>0</v>
      </c>
      <c r="V28" s="70">
        <f t="shared" si="2"/>
        <v>0</v>
      </c>
      <c r="W28" s="70">
        <f t="shared" si="3"/>
        <v>0</v>
      </c>
      <c r="X28" s="53"/>
    </row>
    <row r="29" spans="1:47" ht="14.5" x14ac:dyDescent="0.3">
      <c r="A29" s="53"/>
      <c r="B29" s="76"/>
      <c r="C29" s="76"/>
      <c r="D29" s="29"/>
      <c r="E29" s="20"/>
      <c r="F29" s="53"/>
      <c r="G29" s="53"/>
      <c r="H29" s="53"/>
      <c r="I29" s="53"/>
      <c r="J29" s="53"/>
      <c r="K29" s="53"/>
      <c r="L29" s="69"/>
      <c r="M29" s="69"/>
      <c r="N29" s="70"/>
      <c r="O29" s="70"/>
      <c r="P29" s="70">
        <f t="shared" si="0"/>
        <v>0</v>
      </c>
      <c r="Q29" s="53"/>
      <c r="R29" s="70"/>
      <c r="S29" s="53"/>
      <c r="T29" s="70"/>
      <c r="U29" s="70">
        <f t="shared" si="1"/>
        <v>0</v>
      </c>
      <c r="V29" s="70">
        <f t="shared" si="2"/>
        <v>0</v>
      </c>
      <c r="W29" s="70">
        <f t="shared" si="3"/>
        <v>0</v>
      </c>
      <c r="X29" s="53"/>
    </row>
    <row r="30" spans="1:47" ht="14.5" x14ac:dyDescent="0.3">
      <c r="A30" s="53"/>
      <c r="B30" s="76"/>
      <c r="C30" s="76"/>
      <c r="D30" s="56"/>
      <c r="E30" s="20"/>
      <c r="F30" s="53"/>
      <c r="G30" s="53"/>
      <c r="H30" s="53"/>
      <c r="I30" s="53"/>
      <c r="J30" s="53"/>
      <c r="K30" s="53"/>
      <c r="L30" s="69"/>
      <c r="M30" s="69"/>
      <c r="N30" s="70"/>
      <c r="O30" s="70"/>
      <c r="P30" s="70">
        <f t="shared" si="0"/>
        <v>0</v>
      </c>
      <c r="Q30" s="53"/>
      <c r="R30" s="70"/>
      <c r="S30" s="53"/>
      <c r="T30" s="70"/>
      <c r="U30" s="70">
        <f t="shared" si="1"/>
        <v>0</v>
      </c>
      <c r="V30" s="70">
        <f t="shared" si="2"/>
        <v>0</v>
      </c>
      <c r="W30" s="70">
        <f t="shared" si="3"/>
        <v>0</v>
      </c>
      <c r="X30" s="53"/>
    </row>
    <row r="31" spans="1:47" ht="14.5" x14ac:dyDescent="0.3">
      <c r="A31" s="53"/>
      <c r="B31" s="76"/>
      <c r="C31" s="76"/>
      <c r="D31" s="29"/>
      <c r="E31" s="20"/>
      <c r="F31" s="71"/>
      <c r="G31" s="53"/>
      <c r="H31" s="53"/>
      <c r="I31" s="53"/>
      <c r="J31" s="53"/>
      <c r="K31" s="53"/>
      <c r="L31" s="69"/>
      <c r="M31" s="69"/>
      <c r="N31" s="70"/>
      <c r="O31" s="70"/>
      <c r="P31" s="70">
        <f t="shared" si="0"/>
        <v>0</v>
      </c>
      <c r="Q31" s="53"/>
      <c r="R31" s="70"/>
      <c r="S31" s="53"/>
      <c r="T31" s="70"/>
      <c r="U31" s="70">
        <f t="shared" si="1"/>
        <v>0</v>
      </c>
      <c r="V31" s="70">
        <f t="shared" si="2"/>
        <v>0</v>
      </c>
      <c r="W31" s="70">
        <f t="shared" si="3"/>
        <v>0</v>
      </c>
      <c r="X31" s="53"/>
    </row>
    <row r="32" spans="1:47" ht="14.5" x14ac:dyDescent="0.3">
      <c r="A32" s="53"/>
      <c r="B32" s="76"/>
      <c r="C32" s="76"/>
      <c r="D32" s="29"/>
      <c r="E32" s="20"/>
      <c r="F32" s="53"/>
      <c r="G32" s="53"/>
      <c r="H32" s="53"/>
      <c r="I32" s="53"/>
      <c r="J32" s="53"/>
      <c r="K32" s="53"/>
      <c r="L32" s="69"/>
      <c r="M32" s="69"/>
      <c r="N32" s="70"/>
      <c r="O32" s="70"/>
      <c r="P32" s="70">
        <f t="shared" si="0"/>
        <v>0</v>
      </c>
      <c r="Q32" s="53"/>
      <c r="R32" s="70"/>
      <c r="S32" s="53"/>
      <c r="T32" s="70"/>
      <c r="U32" s="70">
        <f t="shared" si="1"/>
        <v>0</v>
      </c>
      <c r="V32" s="70">
        <f t="shared" si="2"/>
        <v>0</v>
      </c>
      <c r="W32" s="70">
        <f t="shared" si="3"/>
        <v>0</v>
      </c>
      <c r="X32" s="53"/>
    </row>
    <row r="33" spans="1:24" ht="14.5" x14ac:dyDescent="0.3">
      <c r="A33" s="53"/>
      <c r="B33" s="76"/>
      <c r="C33" s="76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 ht="14.5" x14ac:dyDescent="0.3">
      <c r="A34" s="53"/>
      <c r="B34" s="76"/>
      <c r="C34" s="76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 ht="14.5" x14ac:dyDescent="0.3">
      <c r="A35" s="53"/>
      <c r="B35" s="76"/>
      <c r="C35" s="76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 ht="14.5" x14ac:dyDescent="0.3">
      <c r="A36" s="53"/>
      <c r="B36" s="76"/>
      <c r="C36" s="76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 ht="14.5" x14ac:dyDescent="0.3">
      <c r="A37" s="53"/>
      <c r="B37" s="76"/>
      <c r="C37" s="76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37"/>
  <sheetViews>
    <sheetView topLeftCell="A15" workbookViewId="0">
      <selection activeCell="D5" sqref="D5:E6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6" t="s">
        <v>0</v>
      </c>
      <c r="W5" s="336"/>
      <c r="X5" s="72">
        <v>43586</v>
      </c>
    </row>
    <row r="6" spans="1:47" ht="14" x14ac:dyDescent="0.3">
      <c r="A6" s="337" t="s">
        <v>4</v>
      </c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</row>
    <row r="7" spans="1:47" ht="14" x14ac:dyDescent="0.3">
      <c r="A7" s="337" t="s">
        <v>5</v>
      </c>
      <c r="B7" s="337"/>
      <c r="C7" s="337" t="s">
        <v>6</v>
      </c>
      <c r="D7" s="337"/>
      <c r="E7" s="337"/>
      <c r="F7" s="337" t="s">
        <v>3</v>
      </c>
      <c r="G7" s="337"/>
      <c r="H7" s="337"/>
      <c r="I7" s="337"/>
      <c r="J7" s="337"/>
      <c r="K7" s="337"/>
      <c r="L7" s="337"/>
      <c r="M7" s="337"/>
      <c r="N7" s="337" t="s">
        <v>7</v>
      </c>
      <c r="O7" s="337"/>
      <c r="P7" s="337"/>
      <c r="Q7" s="337" t="s">
        <v>1</v>
      </c>
      <c r="R7" s="337"/>
      <c r="S7" s="337"/>
      <c r="T7" s="337"/>
      <c r="U7" s="337"/>
      <c r="V7" s="337"/>
      <c r="W7" s="337" t="s">
        <v>8</v>
      </c>
      <c r="X7" s="390" t="s">
        <v>9</v>
      </c>
    </row>
    <row r="8" spans="1:47" s="9" customFormat="1" ht="14" x14ac:dyDescent="0.3">
      <c r="A8" s="338" t="s">
        <v>10</v>
      </c>
      <c r="B8" s="338" t="s">
        <v>11</v>
      </c>
      <c r="C8" s="338" t="s">
        <v>12</v>
      </c>
      <c r="D8" s="338" t="s">
        <v>13</v>
      </c>
      <c r="E8" s="338" t="s">
        <v>14</v>
      </c>
      <c r="F8" s="338" t="s">
        <v>15</v>
      </c>
      <c r="G8" s="338" t="s">
        <v>16</v>
      </c>
      <c r="H8" s="338" t="s">
        <v>17</v>
      </c>
      <c r="I8" s="338"/>
      <c r="J8" s="339" t="s">
        <v>18</v>
      </c>
      <c r="K8" s="339"/>
      <c r="L8" s="338" t="s">
        <v>19</v>
      </c>
      <c r="M8" s="338" t="s">
        <v>20</v>
      </c>
      <c r="N8" s="339" t="s">
        <v>21</v>
      </c>
      <c r="O8" s="339" t="s">
        <v>22</v>
      </c>
      <c r="P8" s="339" t="s">
        <v>23</v>
      </c>
      <c r="Q8" s="339" t="s">
        <v>24</v>
      </c>
      <c r="R8" s="339"/>
      <c r="S8" s="339" t="s">
        <v>25</v>
      </c>
      <c r="T8" s="339"/>
      <c r="U8" s="338" t="s">
        <v>26</v>
      </c>
      <c r="V8" s="339" t="s">
        <v>23</v>
      </c>
      <c r="W8" s="337"/>
      <c r="X8" s="390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3">
      <c r="A9" s="338"/>
      <c r="B9" s="338"/>
      <c r="C9" s="338"/>
      <c r="D9" s="338"/>
      <c r="E9" s="338"/>
      <c r="F9" s="338"/>
      <c r="G9" s="338"/>
      <c r="H9" s="10" t="s">
        <v>27</v>
      </c>
      <c r="I9" s="10" t="s">
        <v>28</v>
      </c>
      <c r="J9" s="10" t="s">
        <v>27</v>
      </c>
      <c r="K9" s="11" t="s">
        <v>29</v>
      </c>
      <c r="L9" s="338"/>
      <c r="M9" s="338"/>
      <c r="N9" s="339"/>
      <c r="O9" s="339"/>
      <c r="P9" s="339"/>
      <c r="Q9" s="10" t="s">
        <v>2</v>
      </c>
      <c r="R9" s="11" t="s">
        <v>30</v>
      </c>
      <c r="S9" s="10" t="s">
        <v>2</v>
      </c>
      <c r="T9" s="11" t="s">
        <v>30</v>
      </c>
      <c r="U9" s="338"/>
      <c r="V9" s="339"/>
      <c r="W9" s="337"/>
      <c r="X9" s="391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37.5" x14ac:dyDescent="0.35">
      <c r="A10" s="76" t="s">
        <v>512</v>
      </c>
      <c r="B10" s="76" t="s">
        <v>258</v>
      </c>
      <c r="C10" s="78" t="s">
        <v>375</v>
      </c>
      <c r="D10" s="29" t="s">
        <v>383</v>
      </c>
      <c r="E10" s="20" t="s">
        <v>531</v>
      </c>
      <c r="F10" s="53" t="s">
        <v>513</v>
      </c>
      <c r="G10" s="53" t="s">
        <v>31</v>
      </c>
      <c r="H10" s="53" t="s">
        <v>32</v>
      </c>
      <c r="I10" s="53" t="s">
        <v>33</v>
      </c>
      <c r="J10" s="53" t="s">
        <v>38</v>
      </c>
      <c r="K10" s="53" t="s">
        <v>39</v>
      </c>
      <c r="L10" s="69">
        <v>43760</v>
      </c>
      <c r="M10" s="69">
        <v>43763</v>
      </c>
      <c r="N10" s="70">
        <v>1297.79</v>
      </c>
      <c r="O10" s="70">
        <v>650.12</v>
      </c>
      <c r="P10" s="70">
        <f t="shared" ref="P10:P37" si="0">SUM(N10:O10)</f>
        <v>1947.9099999999999</v>
      </c>
      <c r="Q10" s="53">
        <v>4</v>
      </c>
      <c r="R10" s="70">
        <v>120</v>
      </c>
      <c r="S10" s="53">
        <v>0</v>
      </c>
      <c r="T10" s="70">
        <v>0</v>
      </c>
      <c r="U10" s="70">
        <f>(Q10*R10)+(S10*T10)</f>
        <v>480</v>
      </c>
      <c r="V10" s="70">
        <f>U10+P10</f>
        <v>2427.91</v>
      </c>
      <c r="W10" s="70">
        <f>V10</f>
        <v>2427.91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50" x14ac:dyDescent="0.3">
      <c r="A11" s="76" t="s">
        <v>512</v>
      </c>
      <c r="B11" s="76" t="s">
        <v>258</v>
      </c>
      <c r="C11" s="76" t="s">
        <v>432</v>
      </c>
      <c r="D11" s="29" t="s">
        <v>441</v>
      </c>
      <c r="E11" s="20" t="s">
        <v>532</v>
      </c>
      <c r="F11" s="53" t="s">
        <v>513</v>
      </c>
      <c r="G11" s="53" t="s">
        <v>31</v>
      </c>
      <c r="H11" s="53" t="s">
        <v>32</v>
      </c>
      <c r="I11" s="53" t="s">
        <v>33</v>
      </c>
      <c r="J11" s="53" t="s">
        <v>38</v>
      </c>
      <c r="K11" s="53" t="s">
        <v>39</v>
      </c>
      <c r="L11" s="69">
        <v>43760</v>
      </c>
      <c r="M11" s="69">
        <v>43763</v>
      </c>
      <c r="N11" s="70">
        <f>1562.38
/2</f>
        <v>781.19</v>
      </c>
      <c r="O11" s="70">
        <f>1562.38
/2</f>
        <v>781.19</v>
      </c>
      <c r="P11" s="70">
        <f t="shared" si="0"/>
        <v>1562.38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2042.38</v>
      </c>
      <c r="W11" s="70">
        <f t="shared" ref="W11:W37" si="3">V11</f>
        <v>2042.38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" x14ac:dyDescent="0.35">
      <c r="A12" s="76" t="s">
        <v>512</v>
      </c>
      <c r="B12" s="76" t="s">
        <v>512</v>
      </c>
      <c r="C12" s="78" t="s">
        <v>319</v>
      </c>
      <c r="D12" s="56" t="s">
        <v>324</v>
      </c>
      <c r="E12" s="20" t="s">
        <v>352</v>
      </c>
      <c r="F12" s="53" t="s">
        <v>513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39</v>
      </c>
      <c r="L12" s="69">
        <v>43760</v>
      </c>
      <c r="M12" s="69">
        <v>43763</v>
      </c>
      <c r="N12" s="70">
        <v>1297.79</v>
      </c>
      <c r="O12" s="70">
        <v>650.12</v>
      </c>
      <c r="P12" s="70">
        <f t="shared" si="0"/>
        <v>1947.9099999999999</v>
      </c>
      <c r="Q12" s="53">
        <v>0</v>
      </c>
      <c r="R12" s="70">
        <v>0</v>
      </c>
      <c r="S12" s="53">
        <v>0</v>
      </c>
      <c r="T12" s="70">
        <v>0</v>
      </c>
      <c r="U12" s="70">
        <f t="shared" si="1"/>
        <v>0</v>
      </c>
      <c r="V12" s="70">
        <f t="shared" si="2"/>
        <v>1947.9099999999999</v>
      </c>
      <c r="W12" s="70">
        <f t="shared" si="3"/>
        <v>1947.9099999999999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29" x14ac:dyDescent="0.3">
      <c r="A13" s="76" t="s">
        <v>512</v>
      </c>
      <c r="B13" s="76" t="s">
        <v>289</v>
      </c>
      <c r="C13" s="80" t="s">
        <v>514</v>
      </c>
      <c r="D13" s="29" t="s">
        <v>527</v>
      </c>
      <c r="E13" s="20" t="s">
        <v>533</v>
      </c>
      <c r="F13" s="53" t="s">
        <v>517</v>
      </c>
      <c r="G13" s="53" t="s">
        <v>31</v>
      </c>
      <c r="H13" s="53" t="s">
        <v>32</v>
      </c>
      <c r="I13" s="53" t="s">
        <v>33</v>
      </c>
      <c r="J13" s="53" t="s">
        <v>106</v>
      </c>
      <c r="K13" s="53" t="s">
        <v>107</v>
      </c>
      <c r="L13" s="69">
        <v>43739</v>
      </c>
      <c r="M13" s="69">
        <v>43740</v>
      </c>
      <c r="N13" s="70">
        <f>444.88/2</f>
        <v>222.44</v>
      </c>
      <c r="O13" s="70">
        <f>444.88/2</f>
        <v>222.44</v>
      </c>
      <c r="P13" s="70">
        <f t="shared" si="0"/>
        <v>444.88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1"/>
        <v>240</v>
      </c>
      <c r="V13" s="70">
        <f t="shared" si="2"/>
        <v>684.88</v>
      </c>
      <c r="W13" s="70">
        <f t="shared" si="3"/>
        <v>684.88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" x14ac:dyDescent="0.3">
      <c r="A14" s="76" t="s">
        <v>512</v>
      </c>
      <c r="B14" s="76" t="s">
        <v>516</v>
      </c>
      <c r="C14" s="76" t="s">
        <v>515</v>
      </c>
      <c r="D14" s="56" t="s">
        <v>528</v>
      </c>
      <c r="E14" s="66" t="s">
        <v>534</v>
      </c>
      <c r="F14" s="53" t="s">
        <v>517</v>
      </c>
      <c r="G14" s="53" t="s">
        <v>31</v>
      </c>
      <c r="H14" s="53" t="s">
        <v>32</v>
      </c>
      <c r="I14" s="53" t="s">
        <v>33</v>
      </c>
      <c r="J14" s="53" t="s">
        <v>106</v>
      </c>
      <c r="K14" s="53" t="s">
        <v>107</v>
      </c>
      <c r="L14" s="69">
        <v>43739</v>
      </c>
      <c r="M14" s="69">
        <v>43740</v>
      </c>
      <c r="N14" s="70">
        <f>444.88
/2</f>
        <v>222.44</v>
      </c>
      <c r="O14" s="70">
        <f>444.88
/2</f>
        <v>222.44</v>
      </c>
      <c r="P14" s="70">
        <f t="shared" si="0"/>
        <v>444.88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684.88</v>
      </c>
      <c r="W14" s="70">
        <f t="shared" si="3"/>
        <v>684.88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37.5" x14ac:dyDescent="0.3">
      <c r="A15" s="76" t="s">
        <v>372</v>
      </c>
      <c r="B15" s="76" t="s">
        <v>372</v>
      </c>
      <c r="C15" s="81" t="s">
        <v>75</v>
      </c>
      <c r="D15" s="29" t="s">
        <v>104</v>
      </c>
      <c r="E15" s="20" t="s">
        <v>88</v>
      </c>
      <c r="F15" s="53" t="s">
        <v>513</v>
      </c>
      <c r="G15" s="53" t="s">
        <v>31</v>
      </c>
      <c r="H15" s="53" t="s">
        <v>32</v>
      </c>
      <c r="I15" s="53" t="s">
        <v>33</v>
      </c>
      <c r="J15" s="53" t="s">
        <v>38</v>
      </c>
      <c r="K15" s="53" t="s">
        <v>39</v>
      </c>
      <c r="L15" s="69">
        <v>43761</v>
      </c>
      <c r="M15" s="69">
        <v>43763</v>
      </c>
      <c r="N15" s="70">
        <f>1482.08/2</f>
        <v>741.04</v>
      </c>
      <c r="O15" s="70">
        <f>1482.08/2</f>
        <v>741.04</v>
      </c>
      <c r="P15" s="70">
        <f t="shared" si="0"/>
        <v>1482.08</v>
      </c>
      <c r="Q15" s="53">
        <v>0</v>
      </c>
      <c r="R15" s="70">
        <v>0</v>
      </c>
      <c r="S15" s="53">
        <v>0</v>
      </c>
      <c r="T15" s="70">
        <v>0</v>
      </c>
      <c r="U15" s="70">
        <f t="shared" si="1"/>
        <v>0</v>
      </c>
      <c r="V15" s="70">
        <f t="shared" si="2"/>
        <v>1482.08</v>
      </c>
      <c r="W15" s="70">
        <f t="shared" si="3"/>
        <v>1482.08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" x14ac:dyDescent="0.3">
      <c r="A16" s="76" t="s">
        <v>372</v>
      </c>
      <c r="B16" s="76" t="s">
        <v>398</v>
      </c>
      <c r="C16" s="76" t="s">
        <v>266</v>
      </c>
      <c r="D16" s="29" t="s">
        <v>153</v>
      </c>
      <c r="E16" s="20" t="s">
        <v>405</v>
      </c>
      <c r="F16" s="53" t="s">
        <v>268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43761</v>
      </c>
      <c r="M16" s="69">
        <v>43763</v>
      </c>
      <c r="N16" s="70">
        <f>1749.38/2</f>
        <v>874.69</v>
      </c>
      <c r="O16" s="70">
        <f>1749.38/2</f>
        <v>874.69</v>
      </c>
      <c r="P16" s="70">
        <f t="shared" si="0"/>
        <v>1749.38</v>
      </c>
      <c r="Q16" s="53">
        <v>3</v>
      </c>
      <c r="R16" s="70">
        <v>120</v>
      </c>
      <c r="S16" s="53">
        <v>0</v>
      </c>
      <c r="T16" s="70">
        <v>0</v>
      </c>
      <c r="U16" s="70">
        <f t="shared" si="1"/>
        <v>360</v>
      </c>
      <c r="V16" s="70">
        <f t="shared" si="2"/>
        <v>2109.38</v>
      </c>
      <c r="W16" s="70">
        <f t="shared" si="3"/>
        <v>2109.38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" x14ac:dyDescent="0.3">
      <c r="A17" s="76" t="s">
        <v>229</v>
      </c>
      <c r="B17" s="76" t="s">
        <v>215</v>
      </c>
      <c r="C17" s="76" t="s">
        <v>48</v>
      </c>
      <c r="D17" s="29" t="s">
        <v>81</v>
      </c>
      <c r="E17" s="20" t="s">
        <v>56</v>
      </c>
      <c r="F17" s="53" t="s">
        <v>513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43761</v>
      </c>
      <c r="M17" s="69">
        <v>43763</v>
      </c>
      <c r="N17" s="70">
        <f>1749.38/2</f>
        <v>874.69</v>
      </c>
      <c r="O17" s="70">
        <f>1749.38/2</f>
        <v>874.69</v>
      </c>
      <c r="P17" s="70">
        <f t="shared" si="0"/>
        <v>1749.38</v>
      </c>
      <c r="Q17" s="53">
        <v>6</v>
      </c>
      <c r="R17" s="70">
        <v>120</v>
      </c>
      <c r="S17" s="53">
        <v>0</v>
      </c>
      <c r="T17" s="70">
        <v>0</v>
      </c>
      <c r="U17" s="70">
        <f t="shared" si="1"/>
        <v>720</v>
      </c>
      <c r="V17" s="70">
        <f t="shared" si="2"/>
        <v>2469.38</v>
      </c>
      <c r="W17" s="70">
        <f t="shared" si="3"/>
        <v>2469.38</v>
      </c>
      <c r="X17" s="79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 x14ac:dyDescent="0.3">
      <c r="A18" s="76" t="s">
        <v>250</v>
      </c>
      <c r="B18" s="76" t="s">
        <v>250</v>
      </c>
      <c r="C18" s="76" t="s">
        <v>478</v>
      </c>
      <c r="D18" s="56" t="s">
        <v>104</v>
      </c>
      <c r="E18" s="66" t="s">
        <v>55</v>
      </c>
      <c r="F18" s="53" t="s">
        <v>513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43761</v>
      </c>
      <c r="M18" s="69">
        <v>43763</v>
      </c>
      <c r="N18" s="70">
        <f>1651.7/2</f>
        <v>825.85</v>
      </c>
      <c r="O18" s="70">
        <f>1651.7/2</f>
        <v>825.85</v>
      </c>
      <c r="P18" s="70">
        <f t="shared" si="0"/>
        <v>1651.7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1651.7</v>
      </c>
      <c r="W18" s="70">
        <f t="shared" si="3"/>
        <v>1651.7</v>
      </c>
      <c r="X18" s="79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37.5" x14ac:dyDescent="0.3">
      <c r="A19" s="76" t="s">
        <v>229</v>
      </c>
      <c r="B19" s="76" t="s">
        <v>461</v>
      </c>
      <c r="C19" s="76" t="s">
        <v>147</v>
      </c>
      <c r="D19" s="29" t="s">
        <v>159</v>
      </c>
      <c r="E19" s="20" t="s">
        <v>160</v>
      </c>
      <c r="F19" s="53" t="s">
        <v>268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43761</v>
      </c>
      <c r="M19" s="69">
        <v>43763</v>
      </c>
      <c r="N19" s="70">
        <f>1749.38/2</f>
        <v>874.69</v>
      </c>
      <c r="O19" s="70">
        <f>1749.38/2</f>
        <v>874.69</v>
      </c>
      <c r="P19" s="70">
        <f t="shared" si="0"/>
        <v>1749.38</v>
      </c>
      <c r="Q19" s="53">
        <v>9</v>
      </c>
      <c r="R19" s="70">
        <v>120</v>
      </c>
      <c r="S19" s="53">
        <v>0</v>
      </c>
      <c r="T19" s="70">
        <v>0</v>
      </c>
      <c r="U19" s="70">
        <f t="shared" si="1"/>
        <v>1080</v>
      </c>
      <c r="V19" s="70">
        <f t="shared" si="2"/>
        <v>2829.38</v>
      </c>
      <c r="W19" s="70">
        <f t="shared" si="3"/>
        <v>2829.38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9" x14ac:dyDescent="0.3">
      <c r="A20" s="76" t="s">
        <v>512</v>
      </c>
      <c r="B20" s="76" t="s">
        <v>512</v>
      </c>
      <c r="C20" s="80" t="s">
        <v>518</v>
      </c>
      <c r="D20" s="56" t="s">
        <v>104</v>
      </c>
      <c r="E20" s="66" t="s">
        <v>55</v>
      </c>
      <c r="F20" s="53" t="s">
        <v>507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43745</v>
      </c>
      <c r="M20" s="69">
        <v>43746</v>
      </c>
      <c r="N20" s="70">
        <f>3008.18/2</f>
        <v>1504.09</v>
      </c>
      <c r="O20" s="70">
        <f>3008.18/2</f>
        <v>1504.09</v>
      </c>
      <c r="P20" s="70">
        <f t="shared" si="0"/>
        <v>3008.18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3008.18</v>
      </c>
      <c r="W20" s="70">
        <f t="shared" si="3"/>
        <v>3008.18</v>
      </c>
      <c r="X20" s="53"/>
    </row>
    <row r="21" spans="1:47" ht="25" x14ac:dyDescent="0.3">
      <c r="A21" s="76" t="s">
        <v>512</v>
      </c>
      <c r="B21" s="76" t="s">
        <v>512</v>
      </c>
      <c r="C21" s="76" t="s">
        <v>519</v>
      </c>
      <c r="D21" s="56" t="s">
        <v>324</v>
      </c>
      <c r="E21" s="20" t="s">
        <v>352</v>
      </c>
      <c r="F21" s="53" t="s">
        <v>507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43745</v>
      </c>
      <c r="M21" s="69">
        <v>43747</v>
      </c>
      <c r="N21" s="70">
        <f>3192.18/2</f>
        <v>1596.09</v>
      </c>
      <c r="O21" s="70">
        <f>3192.18/2</f>
        <v>1596.09</v>
      </c>
      <c r="P21" s="70">
        <f t="shared" si="0"/>
        <v>3192.18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1"/>
        <v>360</v>
      </c>
      <c r="V21" s="70">
        <f t="shared" si="2"/>
        <v>3552.18</v>
      </c>
      <c r="W21" s="70">
        <f t="shared" si="3"/>
        <v>3552.18</v>
      </c>
      <c r="X21" s="53"/>
    </row>
    <row r="22" spans="1:47" ht="25" x14ac:dyDescent="0.3">
      <c r="A22" s="76" t="s">
        <v>372</v>
      </c>
      <c r="B22" s="76" t="s">
        <v>372</v>
      </c>
      <c r="C22" s="76" t="s">
        <v>134</v>
      </c>
      <c r="D22" s="29" t="s">
        <v>149</v>
      </c>
      <c r="E22" s="20" t="s">
        <v>352</v>
      </c>
      <c r="F22" s="53" t="s">
        <v>507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43745</v>
      </c>
      <c r="M22" s="69">
        <v>43747</v>
      </c>
      <c r="N22" s="70">
        <f>3097.18/2</f>
        <v>1548.59</v>
      </c>
      <c r="O22" s="70">
        <f>3097.18/2</f>
        <v>1548.59</v>
      </c>
      <c r="P22" s="70">
        <f t="shared" si="0"/>
        <v>3097.18</v>
      </c>
      <c r="Q22" s="53">
        <v>3</v>
      </c>
      <c r="R22" s="70">
        <v>120</v>
      </c>
      <c r="S22" s="53">
        <v>0</v>
      </c>
      <c r="T22" s="70">
        <v>0</v>
      </c>
      <c r="U22" s="70">
        <f t="shared" si="1"/>
        <v>360</v>
      </c>
      <c r="V22" s="70">
        <f t="shared" si="2"/>
        <v>3457.18</v>
      </c>
      <c r="W22" s="70">
        <f t="shared" si="3"/>
        <v>3457.18</v>
      </c>
      <c r="X22" s="53"/>
    </row>
    <row r="23" spans="1:47" ht="25" x14ac:dyDescent="0.3">
      <c r="A23" s="76" t="s">
        <v>229</v>
      </c>
      <c r="B23" s="76" t="s">
        <v>215</v>
      </c>
      <c r="C23" s="76" t="s">
        <v>48</v>
      </c>
      <c r="D23" s="29" t="s">
        <v>81</v>
      </c>
      <c r="E23" s="20" t="s">
        <v>56</v>
      </c>
      <c r="F23" s="53" t="s">
        <v>507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43745</v>
      </c>
      <c r="M23" s="69">
        <v>43746</v>
      </c>
      <c r="N23" s="70">
        <f>3104.58/2</f>
        <v>1552.29</v>
      </c>
      <c r="O23" s="70">
        <f>3104.58/2</f>
        <v>1552.29</v>
      </c>
      <c r="P23" s="70">
        <f t="shared" si="0"/>
        <v>3104.58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3584.58</v>
      </c>
      <c r="W23" s="70">
        <f t="shared" si="3"/>
        <v>3584.58</v>
      </c>
      <c r="X23" s="53"/>
    </row>
    <row r="24" spans="1:47" ht="25" x14ac:dyDescent="0.3">
      <c r="A24" s="76" t="s">
        <v>372</v>
      </c>
      <c r="B24" s="76" t="s">
        <v>238</v>
      </c>
      <c r="C24" s="76" t="s">
        <v>135</v>
      </c>
      <c r="D24" s="29" t="s">
        <v>151</v>
      </c>
      <c r="E24" s="20" t="s">
        <v>411</v>
      </c>
      <c r="F24" s="53" t="s">
        <v>507</v>
      </c>
      <c r="G24" s="53" t="s">
        <v>31</v>
      </c>
      <c r="H24" s="53" t="s">
        <v>32</v>
      </c>
      <c r="I24" s="53" t="s">
        <v>33</v>
      </c>
      <c r="J24" s="53" t="s">
        <v>38</v>
      </c>
      <c r="K24" s="53" t="s">
        <v>39</v>
      </c>
      <c r="L24" s="69">
        <v>43745</v>
      </c>
      <c r="M24" s="69">
        <v>43747</v>
      </c>
      <c r="N24" s="70">
        <f>3097.18/2</f>
        <v>1548.59</v>
      </c>
      <c r="O24" s="70">
        <f>3097.18/2</f>
        <v>1548.59</v>
      </c>
      <c r="P24" s="70">
        <f t="shared" si="0"/>
        <v>3097.18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3817.18</v>
      </c>
      <c r="W24" s="70">
        <f t="shared" si="3"/>
        <v>3817.18</v>
      </c>
      <c r="X24" s="53"/>
    </row>
    <row r="25" spans="1:47" ht="25" x14ac:dyDescent="0.3">
      <c r="A25" s="76" t="s">
        <v>512</v>
      </c>
      <c r="B25" s="76" t="s">
        <v>289</v>
      </c>
      <c r="C25" s="76" t="s">
        <v>520</v>
      </c>
      <c r="D25" s="29" t="s">
        <v>529</v>
      </c>
      <c r="E25" s="20" t="s">
        <v>171</v>
      </c>
      <c r="F25" s="53" t="s">
        <v>522</v>
      </c>
      <c r="G25" s="53" t="s">
        <v>31</v>
      </c>
      <c r="H25" s="53" t="s">
        <v>32</v>
      </c>
      <c r="I25" s="53" t="s">
        <v>33</v>
      </c>
      <c r="J25" s="53" t="s">
        <v>38</v>
      </c>
      <c r="K25" s="53" t="s">
        <v>39</v>
      </c>
      <c r="L25" s="69">
        <v>43758</v>
      </c>
      <c r="M25" s="69">
        <v>43762</v>
      </c>
      <c r="N25" s="70">
        <f>2688.08
/2</f>
        <v>1344.04</v>
      </c>
      <c r="O25" s="70">
        <f>2688.08
/2</f>
        <v>1344.04</v>
      </c>
      <c r="P25" s="70">
        <f t="shared" si="0"/>
        <v>2688.08</v>
      </c>
      <c r="Q25" s="53">
        <v>5</v>
      </c>
      <c r="R25" s="70">
        <v>120</v>
      </c>
      <c r="S25" s="53">
        <v>0</v>
      </c>
      <c r="T25" s="70">
        <v>0</v>
      </c>
      <c r="U25" s="70">
        <f t="shared" si="1"/>
        <v>600</v>
      </c>
      <c r="V25" s="70">
        <f t="shared" si="2"/>
        <v>3288.08</v>
      </c>
      <c r="W25" s="70">
        <f t="shared" si="3"/>
        <v>3288.08</v>
      </c>
      <c r="X25" s="53"/>
    </row>
    <row r="26" spans="1:47" ht="50" x14ac:dyDescent="0.3">
      <c r="A26" s="76" t="s">
        <v>512</v>
      </c>
      <c r="B26" s="76" t="s">
        <v>212</v>
      </c>
      <c r="C26" s="76" t="s">
        <v>397</v>
      </c>
      <c r="D26" s="29" t="s">
        <v>403</v>
      </c>
      <c r="E26" s="20" t="s">
        <v>407</v>
      </c>
      <c r="F26" s="53" t="s">
        <v>522</v>
      </c>
      <c r="G26" s="53" t="s">
        <v>31</v>
      </c>
      <c r="H26" s="53" t="s">
        <v>32</v>
      </c>
      <c r="I26" s="53" t="s">
        <v>33</v>
      </c>
      <c r="J26" s="53" t="s">
        <v>38</v>
      </c>
      <c r="K26" s="53" t="s">
        <v>39</v>
      </c>
      <c r="L26" s="69">
        <v>43758</v>
      </c>
      <c r="M26" s="69">
        <v>43762</v>
      </c>
      <c r="N26" s="70">
        <f>2410.88
/2</f>
        <v>1205.44</v>
      </c>
      <c r="O26" s="70">
        <f>2410.88
/2</f>
        <v>1205.44</v>
      </c>
      <c r="P26" s="70">
        <f t="shared" si="0"/>
        <v>2410.88</v>
      </c>
      <c r="Q26" s="53">
        <v>6</v>
      </c>
      <c r="R26" s="70">
        <v>120</v>
      </c>
      <c r="S26" s="53">
        <v>0</v>
      </c>
      <c r="T26" s="70">
        <v>0</v>
      </c>
      <c r="U26" s="70">
        <f t="shared" si="1"/>
        <v>720</v>
      </c>
      <c r="V26" s="70">
        <f t="shared" si="2"/>
        <v>3130.88</v>
      </c>
      <c r="W26" s="70">
        <f t="shared" si="3"/>
        <v>3130.88</v>
      </c>
      <c r="X26" s="53"/>
    </row>
    <row r="27" spans="1:47" ht="25" x14ac:dyDescent="0.3">
      <c r="A27" s="76" t="s">
        <v>512</v>
      </c>
      <c r="B27" s="76" t="s">
        <v>289</v>
      </c>
      <c r="C27" s="76" t="s">
        <v>521</v>
      </c>
      <c r="D27" s="29" t="s">
        <v>530</v>
      </c>
      <c r="E27" s="20" t="s">
        <v>535</v>
      </c>
      <c r="F27" s="53" t="s">
        <v>522</v>
      </c>
      <c r="G27" s="53" t="s">
        <v>31</v>
      </c>
      <c r="H27" s="53" t="s">
        <v>32</v>
      </c>
      <c r="I27" s="53" t="s">
        <v>33</v>
      </c>
      <c r="J27" s="53" t="s">
        <v>38</v>
      </c>
      <c r="K27" s="53" t="s">
        <v>39</v>
      </c>
      <c r="L27" s="69">
        <v>43758</v>
      </c>
      <c r="M27" s="69">
        <v>43762</v>
      </c>
      <c r="N27" s="70">
        <f>2688.08
/2</f>
        <v>1344.04</v>
      </c>
      <c r="O27" s="70">
        <f>2688.08
/2</f>
        <v>1344.04</v>
      </c>
      <c r="P27" s="70">
        <f t="shared" si="0"/>
        <v>2688.08</v>
      </c>
      <c r="Q27" s="53">
        <v>5</v>
      </c>
      <c r="R27" s="70">
        <v>120</v>
      </c>
      <c r="S27" s="53">
        <v>0</v>
      </c>
      <c r="T27" s="70">
        <v>0</v>
      </c>
      <c r="U27" s="70">
        <f t="shared" si="1"/>
        <v>600</v>
      </c>
      <c r="V27" s="70">
        <f t="shared" si="2"/>
        <v>3288.08</v>
      </c>
      <c r="W27" s="70">
        <f t="shared" si="3"/>
        <v>3288.08</v>
      </c>
      <c r="X27" s="53"/>
    </row>
    <row r="28" spans="1:47" ht="25" x14ac:dyDescent="0.3">
      <c r="A28" s="76" t="s">
        <v>229</v>
      </c>
      <c r="B28" s="76" t="s">
        <v>227</v>
      </c>
      <c r="C28" s="76" t="s">
        <v>246</v>
      </c>
      <c r="D28" s="56" t="s">
        <v>263</v>
      </c>
      <c r="E28" s="20" t="s">
        <v>351</v>
      </c>
      <c r="F28" s="53" t="s">
        <v>523</v>
      </c>
      <c r="G28" s="53" t="s">
        <v>31</v>
      </c>
      <c r="H28" s="53" t="s">
        <v>32</v>
      </c>
      <c r="I28" s="53" t="s">
        <v>33</v>
      </c>
      <c r="J28" s="53" t="s">
        <v>61</v>
      </c>
      <c r="K28" s="53" t="s">
        <v>62</v>
      </c>
      <c r="L28" s="69">
        <v>43744</v>
      </c>
      <c r="M28" s="69">
        <v>43746</v>
      </c>
      <c r="N28" s="70">
        <f>1582.42/2</f>
        <v>791.21</v>
      </c>
      <c r="O28" s="70">
        <f>1582.42/2</f>
        <v>791.21</v>
      </c>
      <c r="P28" s="70">
        <f t="shared" si="0"/>
        <v>1582.42</v>
      </c>
      <c r="Q28" s="53">
        <v>3</v>
      </c>
      <c r="R28" s="70">
        <v>120</v>
      </c>
      <c r="S28" s="53">
        <v>1</v>
      </c>
      <c r="T28" s="70">
        <v>250</v>
      </c>
      <c r="U28" s="70">
        <f t="shared" si="1"/>
        <v>610</v>
      </c>
      <c r="V28" s="70">
        <f t="shared" si="2"/>
        <v>2192.42</v>
      </c>
      <c r="W28" s="70">
        <f t="shared" si="3"/>
        <v>2192.42</v>
      </c>
      <c r="X28" s="53"/>
    </row>
    <row r="29" spans="1:47" ht="25" x14ac:dyDescent="0.3">
      <c r="A29" s="76" t="s">
        <v>512</v>
      </c>
      <c r="B29" s="76" t="s">
        <v>212</v>
      </c>
      <c r="C29" s="76" t="s">
        <v>98</v>
      </c>
      <c r="D29" s="29" t="s">
        <v>99</v>
      </c>
      <c r="E29" s="20" t="s">
        <v>128</v>
      </c>
      <c r="F29" s="53" t="s">
        <v>524</v>
      </c>
      <c r="G29" s="53" t="s">
        <v>31</v>
      </c>
      <c r="H29" s="53" t="s">
        <v>32</v>
      </c>
      <c r="I29" s="53" t="s">
        <v>33</v>
      </c>
      <c r="J29" s="53" t="s">
        <v>61</v>
      </c>
      <c r="K29" s="53" t="s">
        <v>413</v>
      </c>
      <c r="L29" s="69">
        <v>43766</v>
      </c>
      <c r="M29" s="69">
        <v>43770</v>
      </c>
      <c r="N29" s="70">
        <f>2985.81/2</f>
        <v>1492.905</v>
      </c>
      <c r="O29" s="70">
        <f>2985.81/2</f>
        <v>1492.905</v>
      </c>
      <c r="P29" s="70">
        <f t="shared" si="0"/>
        <v>2985.81</v>
      </c>
      <c r="Q29" s="53">
        <v>5</v>
      </c>
      <c r="R29" s="70">
        <v>120</v>
      </c>
      <c r="S29" s="53">
        <v>4</v>
      </c>
      <c r="T29" s="70">
        <v>100</v>
      </c>
      <c r="U29" s="70">
        <f t="shared" si="1"/>
        <v>1000</v>
      </c>
      <c r="V29" s="70">
        <f t="shared" si="2"/>
        <v>3985.81</v>
      </c>
      <c r="W29" s="70">
        <f t="shared" si="3"/>
        <v>3985.81</v>
      </c>
      <c r="X29" s="53"/>
    </row>
    <row r="30" spans="1:47" ht="25" x14ac:dyDescent="0.3">
      <c r="A30" s="76" t="s">
        <v>372</v>
      </c>
      <c r="B30" s="76" t="s">
        <v>238</v>
      </c>
      <c r="C30" s="76" t="s">
        <v>447</v>
      </c>
      <c r="D30" s="56" t="s">
        <v>488</v>
      </c>
      <c r="E30" s="20" t="s">
        <v>84</v>
      </c>
      <c r="F30" s="53" t="s">
        <v>525</v>
      </c>
      <c r="G30" s="53" t="s">
        <v>31</v>
      </c>
      <c r="H30" s="53" t="s">
        <v>32</v>
      </c>
      <c r="I30" s="53" t="s">
        <v>33</v>
      </c>
      <c r="J30" s="53" t="s">
        <v>38</v>
      </c>
      <c r="K30" s="53" t="s">
        <v>39</v>
      </c>
      <c r="L30" s="69">
        <v>43745</v>
      </c>
      <c r="M30" s="69">
        <v>43746</v>
      </c>
      <c r="N30" s="70">
        <f>1784.99/2</f>
        <v>892.495</v>
      </c>
      <c r="O30" s="70">
        <f>1784.99/2</f>
        <v>892.495</v>
      </c>
      <c r="P30" s="70">
        <f t="shared" si="0"/>
        <v>1784.99</v>
      </c>
      <c r="Q30" s="53">
        <v>4</v>
      </c>
      <c r="R30" s="70">
        <v>120</v>
      </c>
      <c r="S30" s="53">
        <v>0</v>
      </c>
      <c r="T30" s="70">
        <v>0</v>
      </c>
      <c r="U30" s="70">
        <f t="shared" si="1"/>
        <v>480</v>
      </c>
      <c r="V30" s="70">
        <f t="shared" si="2"/>
        <v>2264.9899999999998</v>
      </c>
      <c r="W30" s="70">
        <f t="shared" si="3"/>
        <v>2264.9899999999998</v>
      </c>
      <c r="X30" s="53"/>
    </row>
    <row r="31" spans="1:47" ht="25" x14ac:dyDescent="0.3">
      <c r="A31" s="76" t="s">
        <v>512</v>
      </c>
      <c r="B31" s="76" t="s">
        <v>289</v>
      </c>
      <c r="C31" s="76" t="s">
        <v>288</v>
      </c>
      <c r="D31" s="29" t="s">
        <v>291</v>
      </c>
      <c r="E31" s="20" t="s">
        <v>536</v>
      </c>
      <c r="F31" s="53" t="s">
        <v>522</v>
      </c>
      <c r="G31" s="53" t="s">
        <v>31</v>
      </c>
      <c r="H31" s="53" t="s">
        <v>32</v>
      </c>
      <c r="I31" s="53" t="s">
        <v>33</v>
      </c>
      <c r="J31" s="53" t="s">
        <v>61</v>
      </c>
      <c r="K31" s="53" t="s">
        <v>62</v>
      </c>
      <c r="L31" s="69">
        <v>43744</v>
      </c>
      <c r="M31" s="69">
        <v>43749</v>
      </c>
      <c r="N31" s="70">
        <f>1879.42/2</f>
        <v>939.71</v>
      </c>
      <c r="O31" s="70">
        <f>1879.42/2</f>
        <v>939.71</v>
      </c>
      <c r="P31" s="70">
        <f t="shared" si="0"/>
        <v>1879.42</v>
      </c>
      <c r="Q31" s="53">
        <v>6</v>
      </c>
      <c r="R31" s="70">
        <v>120</v>
      </c>
      <c r="S31" s="53"/>
      <c r="T31" s="70"/>
      <c r="U31" s="70">
        <f t="shared" si="1"/>
        <v>720</v>
      </c>
      <c r="V31" s="70">
        <f t="shared" si="2"/>
        <v>2599.42</v>
      </c>
      <c r="W31" s="70">
        <f t="shared" si="3"/>
        <v>2599.42</v>
      </c>
      <c r="X31" s="53"/>
    </row>
    <row r="32" spans="1:47" ht="25" x14ac:dyDescent="0.3">
      <c r="A32" s="76" t="s">
        <v>512</v>
      </c>
      <c r="B32" s="76" t="s">
        <v>289</v>
      </c>
      <c r="C32" s="82" t="s">
        <v>371</v>
      </c>
      <c r="D32" s="29" t="s">
        <v>382</v>
      </c>
      <c r="E32" s="20" t="s">
        <v>387</v>
      </c>
      <c r="F32" s="53" t="s">
        <v>526</v>
      </c>
      <c r="G32" s="53" t="s">
        <v>31</v>
      </c>
      <c r="H32" s="53" t="s">
        <v>32</v>
      </c>
      <c r="I32" s="53" t="s">
        <v>33</v>
      </c>
      <c r="J32" s="53" t="s">
        <v>61</v>
      </c>
      <c r="K32" s="53" t="s">
        <v>62</v>
      </c>
      <c r="L32" s="69">
        <v>43746</v>
      </c>
      <c r="M32" s="69">
        <v>43749</v>
      </c>
      <c r="N32" s="70">
        <f>1759.52/2</f>
        <v>879.76</v>
      </c>
      <c r="O32" s="70">
        <f>1759.52/2</f>
        <v>879.76</v>
      </c>
      <c r="P32" s="70">
        <f t="shared" si="0"/>
        <v>1759.52</v>
      </c>
      <c r="Q32" s="53">
        <v>4</v>
      </c>
      <c r="R32" s="70">
        <v>120</v>
      </c>
      <c r="S32" s="53"/>
      <c r="T32" s="70"/>
      <c r="U32" s="70">
        <f t="shared" si="1"/>
        <v>480</v>
      </c>
      <c r="V32" s="70">
        <f t="shared" si="2"/>
        <v>2239.52</v>
      </c>
      <c r="W32" s="70">
        <f t="shared" si="3"/>
        <v>2239.52</v>
      </c>
      <c r="X32" s="53"/>
    </row>
    <row r="33" spans="1:24" ht="14.5" x14ac:dyDescent="0.3">
      <c r="A33" s="53"/>
      <c r="B33" s="76"/>
      <c r="C33" s="76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 ht="14.5" x14ac:dyDescent="0.3">
      <c r="A34" s="53"/>
      <c r="B34" s="76"/>
      <c r="C34" s="76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 ht="14.5" x14ac:dyDescent="0.3">
      <c r="A35" s="53"/>
      <c r="B35" s="76"/>
      <c r="C35" s="76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 ht="14.5" x14ac:dyDescent="0.3">
      <c r="A36" s="53"/>
      <c r="B36" s="76"/>
      <c r="C36" s="76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 ht="14.5" x14ac:dyDescent="0.3">
      <c r="A37" s="53"/>
      <c r="B37" s="76"/>
      <c r="C37" s="76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T27"/>
  <sheetViews>
    <sheetView topLeftCell="A6" workbookViewId="0">
      <selection activeCell="D5" sqref="D5:E6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20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6" t="s">
        <v>0</v>
      </c>
      <c r="W5" s="336"/>
      <c r="X5" s="72">
        <v>43586</v>
      </c>
    </row>
    <row r="6" spans="1:46" ht="14" x14ac:dyDescent="0.3">
      <c r="A6" s="337" t="s">
        <v>4</v>
      </c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</row>
    <row r="7" spans="1:46" ht="14" x14ac:dyDescent="0.3">
      <c r="A7" s="337" t="s">
        <v>5</v>
      </c>
      <c r="B7" s="337"/>
      <c r="C7" s="337" t="s">
        <v>6</v>
      </c>
      <c r="D7" s="337"/>
      <c r="E7" s="337"/>
      <c r="F7" s="337" t="s">
        <v>3</v>
      </c>
      <c r="G7" s="337"/>
      <c r="H7" s="337"/>
      <c r="I7" s="337"/>
      <c r="J7" s="337"/>
      <c r="K7" s="337"/>
      <c r="L7" s="337"/>
      <c r="M7" s="337"/>
      <c r="N7" s="337" t="s">
        <v>7</v>
      </c>
      <c r="O7" s="337"/>
      <c r="P7" s="337"/>
      <c r="Q7" s="337" t="s">
        <v>1</v>
      </c>
      <c r="R7" s="337"/>
      <c r="S7" s="337"/>
      <c r="T7" s="337"/>
      <c r="U7" s="337"/>
      <c r="V7" s="337"/>
      <c r="W7" s="337" t="s">
        <v>8</v>
      </c>
      <c r="X7" s="390" t="s">
        <v>9</v>
      </c>
    </row>
    <row r="8" spans="1:46" s="9" customFormat="1" ht="14" x14ac:dyDescent="0.3">
      <c r="A8" s="338" t="s">
        <v>10</v>
      </c>
      <c r="B8" s="338" t="s">
        <v>11</v>
      </c>
      <c r="C8" s="338" t="s">
        <v>12</v>
      </c>
      <c r="D8" s="338" t="s">
        <v>13</v>
      </c>
      <c r="E8" s="338" t="s">
        <v>14</v>
      </c>
      <c r="F8" s="338" t="s">
        <v>15</v>
      </c>
      <c r="G8" s="338" t="s">
        <v>16</v>
      </c>
      <c r="H8" s="338" t="s">
        <v>17</v>
      </c>
      <c r="I8" s="338"/>
      <c r="J8" s="339" t="s">
        <v>18</v>
      </c>
      <c r="K8" s="339"/>
      <c r="L8" s="338" t="s">
        <v>19</v>
      </c>
      <c r="M8" s="338" t="s">
        <v>20</v>
      </c>
      <c r="N8" s="339" t="s">
        <v>21</v>
      </c>
      <c r="O8" s="339" t="s">
        <v>22</v>
      </c>
      <c r="P8" s="339" t="s">
        <v>23</v>
      </c>
      <c r="Q8" s="339" t="s">
        <v>24</v>
      </c>
      <c r="R8" s="339"/>
      <c r="S8" s="339" t="s">
        <v>25</v>
      </c>
      <c r="T8" s="339"/>
      <c r="U8" s="338" t="s">
        <v>26</v>
      </c>
      <c r="V8" s="339" t="s">
        <v>23</v>
      </c>
      <c r="W8" s="337"/>
      <c r="X8" s="390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3">
      <c r="A9" s="338"/>
      <c r="B9" s="338"/>
      <c r="C9" s="338"/>
      <c r="D9" s="338"/>
      <c r="E9" s="338"/>
      <c r="F9" s="338"/>
      <c r="G9" s="338"/>
      <c r="H9" s="10" t="s">
        <v>27</v>
      </c>
      <c r="I9" s="10" t="s">
        <v>28</v>
      </c>
      <c r="J9" s="10" t="s">
        <v>27</v>
      </c>
      <c r="K9" s="11" t="s">
        <v>29</v>
      </c>
      <c r="L9" s="338"/>
      <c r="M9" s="338"/>
      <c r="N9" s="339"/>
      <c r="O9" s="339"/>
      <c r="P9" s="339"/>
      <c r="Q9" s="10" t="s">
        <v>2</v>
      </c>
      <c r="R9" s="11" t="s">
        <v>30</v>
      </c>
      <c r="S9" s="10" t="s">
        <v>2</v>
      </c>
      <c r="T9" s="11" t="s">
        <v>30</v>
      </c>
      <c r="U9" s="338"/>
      <c r="V9" s="339"/>
      <c r="W9" s="337"/>
      <c r="X9" s="391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" x14ac:dyDescent="0.3">
      <c r="A10" s="76" t="s">
        <v>229</v>
      </c>
      <c r="B10" s="76" t="s">
        <v>215</v>
      </c>
      <c r="C10" s="83" t="s">
        <v>48</v>
      </c>
      <c r="D10" s="29" t="s">
        <v>81</v>
      </c>
      <c r="E10" s="20" t="s">
        <v>56</v>
      </c>
      <c r="F10" s="53" t="s">
        <v>537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43793</v>
      </c>
      <c r="M10" s="69">
        <v>43795</v>
      </c>
      <c r="N10" s="70">
        <f>1141.48/2</f>
        <v>570.74</v>
      </c>
      <c r="O10" s="70">
        <f>1141.48/2</f>
        <v>570.74</v>
      </c>
      <c r="P10" s="70">
        <f t="shared" ref="P10:P27" si="0">SUM(N10:O10)</f>
        <v>1141.48</v>
      </c>
      <c r="Q10" s="53">
        <v>6</v>
      </c>
      <c r="R10" s="70">
        <v>120</v>
      </c>
      <c r="S10" s="53">
        <v>0</v>
      </c>
      <c r="T10" s="70">
        <v>0</v>
      </c>
      <c r="U10" s="70">
        <f>(Q10*R10)+(S10*T10)</f>
        <v>720</v>
      </c>
      <c r="V10" s="70">
        <f>U10+P10</f>
        <v>1861.48</v>
      </c>
      <c r="W10" s="70">
        <f>V10</f>
        <v>1861.48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" x14ac:dyDescent="0.3">
      <c r="A11" s="76" t="s">
        <v>512</v>
      </c>
      <c r="B11" s="76" t="s">
        <v>212</v>
      </c>
      <c r="C11" s="76" t="s">
        <v>40</v>
      </c>
      <c r="D11" s="29" t="s">
        <v>172</v>
      </c>
      <c r="E11" s="20" t="s">
        <v>53</v>
      </c>
      <c r="F11" s="53" t="s">
        <v>538</v>
      </c>
      <c r="G11" s="53" t="s">
        <v>31</v>
      </c>
      <c r="H11" s="53" t="s">
        <v>32</v>
      </c>
      <c r="I11" s="53" t="s">
        <v>33</v>
      </c>
      <c r="J11" s="53" t="s">
        <v>32</v>
      </c>
      <c r="K11" s="53" t="s">
        <v>390</v>
      </c>
      <c r="L11" s="69">
        <v>43773</v>
      </c>
      <c r="M11" s="69">
        <v>43775</v>
      </c>
      <c r="N11" s="70">
        <f t="shared" ref="N11:O13" si="1">1253.63/2</f>
        <v>626.81500000000005</v>
      </c>
      <c r="O11" s="70">
        <f t="shared" si="1"/>
        <v>626.81500000000005</v>
      </c>
      <c r="P11" s="70">
        <f t="shared" si="0"/>
        <v>1253.6300000000001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27" si="2">(Q11*R11)+(S11*T11)</f>
        <v>360</v>
      </c>
      <c r="V11" s="70">
        <f t="shared" ref="V11:V27" si="3">U11+P11</f>
        <v>1613.63</v>
      </c>
      <c r="W11" s="70">
        <f t="shared" ref="W11:W27" si="4">V11</f>
        <v>1613.63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" x14ac:dyDescent="0.35">
      <c r="A12" s="76" t="s">
        <v>512</v>
      </c>
      <c r="B12" s="76" t="s">
        <v>212</v>
      </c>
      <c r="C12" s="78" t="s">
        <v>378</v>
      </c>
      <c r="D12" s="56" t="s">
        <v>384</v>
      </c>
      <c r="E12" s="20" t="s">
        <v>52</v>
      </c>
      <c r="F12" s="53" t="s">
        <v>538</v>
      </c>
      <c r="G12" s="53" t="s">
        <v>31</v>
      </c>
      <c r="H12" s="53" t="s">
        <v>32</v>
      </c>
      <c r="I12" s="53" t="s">
        <v>33</v>
      </c>
      <c r="J12" s="53" t="s">
        <v>32</v>
      </c>
      <c r="K12" s="53" t="s">
        <v>390</v>
      </c>
      <c r="L12" s="69">
        <v>43773</v>
      </c>
      <c r="M12" s="69">
        <v>43775</v>
      </c>
      <c r="N12" s="70">
        <f t="shared" si="1"/>
        <v>626.81500000000005</v>
      </c>
      <c r="O12" s="70">
        <f t="shared" si="1"/>
        <v>626.81500000000005</v>
      </c>
      <c r="P12" s="70">
        <f t="shared" si="0"/>
        <v>1253.6300000000001</v>
      </c>
      <c r="Q12" s="53">
        <v>3</v>
      </c>
      <c r="R12" s="70">
        <v>120</v>
      </c>
      <c r="S12" s="53">
        <v>5</v>
      </c>
      <c r="T12" s="70">
        <v>100</v>
      </c>
      <c r="U12" s="70">
        <f t="shared" si="2"/>
        <v>860</v>
      </c>
      <c r="V12" s="70">
        <f t="shared" si="3"/>
        <v>2113.63</v>
      </c>
      <c r="W12" s="70">
        <f t="shared" si="4"/>
        <v>2113.63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" x14ac:dyDescent="0.3">
      <c r="A13" s="76" t="s">
        <v>512</v>
      </c>
      <c r="B13" s="76" t="s">
        <v>212</v>
      </c>
      <c r="C13" s="80" t="s">
        <v>539</v>
      </c>
      <c r="D13" s="29" t="s">
        <v>550</v>
      </c>
      <c r="E13" s="20" t="s">
        <v>549</v>
      </c>
      <c r="F13" s="53" t="s">
        <v>538</v>
      </c>
      <c r="G13" s="53" t="s">
        <v>31</v>
      </c>
      <c r="H13" s="53" t="s">
        <v>32</v>
      </c>
      <c r="I13" s="53" t="s">
        <v>33</v>
      </c>
      <c r="J13" s="53" t="s">
        <v>32</v>
      </c>
      <c r="K13" s="53" t="s">
        <v>390</v>
      </c>
      <c r="L13" s="69">
        <v>43773</v>
      </c>
      <c r="M13" s="69">
        <v>43775</v>
      </c>
      <c r="N13" s="70">
        <f t="shared" si="1"/>
        <v>626.81500000000005</v>
      </c>
      <c r="O13" s="70">
        <f t="shared" si="1"/>
        <v>626.81500000000005</v>
      </c>
      <c r="P13" s="70">
        <f t="shared" si="0"/>
        <v>1253.6300000000001</v>
      </c>
      <c r="Q13" s="53">
        <v>3</v>
      </c>
      <c r="R13" s="70">
        <v>120</v>
      </c>
      <c r="S13" s="53">
        <v>0</v>
      </c>
      <c r="T13" s="70">
        <v>0</v>
      </c>
      <c r="U13" s="70">
        <f t="shared" si="2"/>
        <v>360</v>
      </c>
      <c r="V13" s="70">
        <f t="shared" si="3"/>
        <v>1613.63</v>
      </c>
      <c r="W13" s="70">
        <f t="shared" si="4"/>
        <v>1613.63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" x14ac:dyDescent="0.3">
      <c r="A14" s="76" t="s">
        <v>512</v>
      </c>
      <c r="B14" s="76" t="s">
        <v>512</v>
      </c>
      <c r="C14" s="76" t="s">
        <v>478</v>
      </c>
      <c r="D14" s="56" t="s">
        <v>104</v>
      </c>
      <c r="E14" s="66" t="s">
        <v>55</v>
      </c>
      <c r="F14" s="53" t="s">
        <v>105</v>
      </c>
      <c r="G14" s="53" t="s">
        <v>31</v>
      </c>
      <c r="H14" s="53" t="s">
        <v>32</v>
      </c>
      <c r="I14" s="53" t="s">
        <v>33</v>
      </c>
      <c r="J14" s="53" t="s">
        <v>106</v>
      </c>
      <c r="K14" s="53" t="s">
        <v>107</v>
      </c>
      <c r="L14" s="69">
        <v>43773</v>
      </c>
      <c r="M14" s="69">
        <v>43773</v>
      </c>
      <c r="N14" s="70">
        <f>803.27/2</f>
        <v>401.63499999999999</v>
      </c>
      <c r="O14" s="70">
        <f>803.27/2</f>
        <v>401.63499999999999</v>
      </c>
      <c r="P14" s="70">
        <f t="shared" si="0"/>
        <v>803.27</v>
      </c>
      <c r="Q14" s="53">
        <v>0</v>
      </c>
      <c r="R14" s="70">
        <v>0</v>
      </c>
      <c r="S14" s="53">
        <v>0</v>
      </c>
      <c r="T14" s="70">
        <v>0</v>
      </c>
      <c r="U14" s="70">
        <f t="shared" si="2"/>
        <v>0</v>
      </c>
      <c r="V14" s="70">
        <f t="shared" si="3"/>
        <v>803.27</v>
      </c>
      <c r="W14" s="70">
        <f t="shared" si="4"/>
        <v>803.27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ht="25" x14ac:dyDescent="0.3">
      <c r="A15" s="76" t="s">
        <v>372</v>
      </c>
      <c r="B15" s="76" t="s">
        <v>272</v>
      </c>
      <c r="C15" s="81" t="s">
        <v>192</v>
      </c>
      <c r="D15" s="29" t="s">
        <v>197</v>
      </c>
      <c r="E15" s="20" t="s">
        <v>353</v>
      </c>
      <c r="F15" s="53" t="s">
        <v>540</v>
      </c>
      <c r="G15" s="53" t="s">
        <v>31</v>
      </c>
      <c r="H15" s="53" t="s">
        <v>32</v>
      </c>
      <c r="I15" s="53" t="s">
        <v>33</v>
      </c>
      <c r="J15" s="53" t="s">
        <v>38</v>
      </c>
      <c r="K15" s="53" t="s">
        <v>39</v>
      </c>
      <c r="L15" s="69">
        <v>43795</v>
      </c>
      <c r="M15" s="69">
        <v>43798</v>
      </c>
      <c r="N15" s="70">
        <f>1618.88/2</f>
        <v>809.44</v>
      </c>
      <c r="O15" s="70">
        <f>1618.88/2</f>
        <v>809.44</v>
      </c>
      <c r="P15" s="70">
        <f t="shared" si="0"/>
        <v>1618.88</v>
      </c>
      <c r="Q15" s="53">
        <v>4</v>
      </c>
      <c r="R15" s="70">
        <v>120</v>
      </c>
      <c r="S15" s="53">
        <v>3</v>
      </c>
      <c r="T15" s="70">
        <v>100</v>
      </c>
      <c r="U15" s="70">
        <f t="shared" si="2"/>
        <v>780</v>
      </c>
      <c r="V15" s="70">
        <f t="shared" si="3"/>
        <v>2398.88</v>
      </c>
      <c r="W15" s="70">
        <f t="shared" si="4"/>
        <v>2398.88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" x14ac:dyDescent="0.3">
      <c r="A16" s="76" t="s">
        <v>372</v>
      </c>
      <c r="B16" s="76" t="s">
        <v>272</v>
      </c>
      <c r="C16" s="76" t="s">
        <v>191</v>
      </c>
      <c r="D16" s="29" t="s">
        <v>153</v>
      </c>
      <c r="E16" s="20" t="s">
        <v>405</v>
      </c>
      <c r="F16" s="53" t="s">
        <v>540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43795</v>
      </c>
      <c r="M16" s="69">
        <v>43798</v>
      </c>
      <c r="N16" s="70">
        <f>1618.88/2</f>
        <v>809.44</v>
      </c>
      <c r="O16" s="70">
        <f>1618.88/2</f>
        <v>809.44</v>
      </c>
      <c r="P16" s="70">
        <f t="shared" si="0"/>
        <v>1618.88</v>
      </c>
      <c r="Q16" s="53">
        <v>4</v>
      </c>
      <c r="R16" s="70">
        <v>120</v>
      </c>
      <c r="S16" s="53">
        <v>0</v>
      </c>
      <c r="T16" s="70">
        <v>0</v>
      </c>
      <c r="U16" s="70">
        <f t="shared" si="2"/>
        <v>480</v>
      </c>
      <c r="V16" s="70">
        <f t="shared" si="3"/>
        <v>2098.88</v>
      </c>
      <c r="W16" s="70">
        <f t="shared" si="4"/>
        <v>2098.88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  <row r="17" spans="1:46" s="44" customFormat="1" ht="25" x14ac:dyDescent="0.3">
      <c r="A17" s="76" t="s">
        <v>250</v>
      </c>
      <c r="B17" s="76" t="s">
        <v>250</v>
      </c>
      <c r="C17" s="76" t="s">
        <v>478</v>
      </c>
      <c r="D17" s="56" t="s">
        <v>104</v>
      </c>
      <c r="E17" s="66" t="s">
        <v>55</v>
      </c>
      <c r="F17" s="53" t="s">
        <v>543</v>
      </c>
      <c r="G17" s="53" t="s">
        <v>31</v>
      </c>
      <c r="H17" s="53" t="s">
        <v>32</v>
      </c>
      <c r="I17" s="53" t="s">
        <v>33</v>
      </c>
      <c r="J17" s="53" t="s">
        <v>32</v>
      </c>
      <c r="K17" s="53" t="s">
        <v>390</v>
      </c>
      <c r="L17" s="69">
        <v>43780</v>
      </c>
      <c r="M17" s="69">
        <v>43782</v>
      </c>
      <c r="N17" s="70">
        <f>1017.28/2</f>
        <v>508.64</v>
      </c>
      <c r="O17" s="70">
        <f>1017.28/2</f>
        <v>508.64</v>
      </c>
      <c r="P17" s="70">
        <f t="shared" si="0"/>
        <v>1017.28</v>
      </c>
      <c r="Q17" s="53">
        <v>0</v>
      </c>
      <c r="R17" s="70">
        <v>0</v>
      </c>
      <c r="S17" s="53">
        <v>0</v>
      </c>
      <c r="T17" s="70">
        <v>0</v>
      </c>
      <c r="U17" s="70">
        <f t="shared" si="2"/>
        <v>0</v>
      </c>
      <c r="V17" s="70">
        <f t="shared" si="3"/>
        <v>1017.28</v>
      </c>
      <c r="W17" s="70">
        <f t="shared" si="4"/>
        <v>1017.28</v>
      </c>
      <c r="X17" s="79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</row>
    <row r="18" spans="1:46" s="44" customFormat="1" ht="36.75" customHeight="1" x14ac:dyDescent="0.3">
      <c r="A18" s="76" t="s">
        <v>250</v>
      </c>
      <c r="B18" s="76" t="s">
        <v>250</v>
      </c>
      <c r="C18" s="76" t="s">
        <v>319</v>
      </c>
      <c r="D18" s="56" t="s">
        <v>324</v>
      </c>
      <c r="E18" s="20" t="s">
        <v>352</v>
      </c>
      <c r="F18" s="53" t="s">
        <v>543</v>
      </c>
      <c r="G18" s="53" t="s">
        <v>31</v>
      </c>
      <c r="H18" s="53" t="s">
        <v>32</v>
      </c>
      <c r="I18" s="53" t="s">
        <v>33</v>
      </c>
      <c r="J18" s="53" t="s">
        <v>32</v>
      </c>
      <c r="K18" s="53" t="s">
        <v>390</v>
      </c>
      <c r="L18" s="69">
        <v>43780</v>
      </c>
      <c r="M18" s="69">
        <v>43782</v>
      </c>
      <c r="N18" s="70">
        <f>1076.12/2</f>
        <v>538.05999999999995</v>
      </c>
      <c r="O18" s="70">
        <f>1076.12/2</f>
        <v>538.05999999999995</v>
      </c>
      <c r="P18" s="70">
        <f t="shared" si="0"/>
        <v>1076.1199999999999</v>
      </c>
      <c r="Q18" s="53">
        <v>3</v>
      </c>
      <c r="R18" s="70">
        <v>120</v>
      </c>
      <c r="S18" s="53">
        <v>0</v>
      </c>
      <c r="T18" s="70">
        <v>0</v>
      </c>
      <c r="U18" s="70">
        <f t="shared" si="2"/>
        <v>360</v>
      </c>
      <c r="V18" s="70">
        <f t="shared" si="3"/>
        <v>1436.12</v>
      </c>
      <c r="W18" s="70">
        <f t="shared" si="4"/>
        <v>1436.12</v>
      </c>
      <c r="X18" s="79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</row>
    <row r="19" spans="1:46" s="44" customFormat="1" ht="25" x14ac:dyDescent="0.3">
      <c r="A19" s="76" t="s">
        <v>229</v>
      </c>
      <c r="B19" s="76" t="s">
        <v>542</v>
      </c>
      <c r="C19" s="76" t="s">
        <v>541</v>
      </c>
      <c r="D19" s="29" t="s">
        <v>551</v>
      </c>
      <c r="E19" s="20" t="s">
        <v>548</v>
      </c>
      <c r="F19" s="53" t="s">
        <v>543</v>
      </c>
      <c r="G19" s="53" t="s">
        <v>31</v>
      </c>
      <c r="H19" s="53" t="s">
        <v>32</v>
      </c>
      <c r="I19" s="53" t="s">
        <v>33</v>
      </c>
      <c r="J19" s="53" t="s">
        <v>32</v>
      </c>
      <c r="K19" s="53" t="s">
        <v>390</v>
      </c>
      <c r="L19" s="69">
        <v>43780</v>
      </c>
      <c r="M19" s="69">
        <v>43782</v>
      </c>
      <c r="N19" s="70">
        <f>1253.63/2</f>
        <v>626.81500000000005</v>
      </c>
      <c r="O19" s="70">
        <f>1253.63/2</f>
        <v>626.81500000000005</v>
      </c>
      <c r="P19" s="70">
        <f t="shared" si="0"/>
        <v>1253.6300000000001</v>
      </c>
      <c r="Q19" s="53">
        <v>3</v>
      </c>
      <c r="R19" s="70">
        <v>120</v>
      </c>
      <c r="S19" s="53">
        <v>0</v>
      </c>
      <c r="T19" s="70">
        <v>0</v>
      </c>
      <c r="U19" s="70">
        <f t="shared" si="2"/>
        <v>360</v>
      </c>
      <c r="V19" s="70">
        <f t="shared" si="3"/>
        <v>1613.63</v>
      </c>
      <c r="W19" s="70">
        <f t="shared" si="4"/>
        <v>1613.63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</row>
    <row r="20" spans="1:46" ht="37.5" x14ac:dyDescent="0.3">
      <c r="A20" s="76" t="s">
        <v>372</v>
      </c>
      <c r="B20" s="76" t="s">
        <v>372</v>
      </c>
      <c r="C20" s="80" t="s">
        <v>75</v>
      </c>
      <c r="D20" s="29" t="s">
        <v>104</v>
      </c>
      <c r="E20" s="20" t="s">
        <v>88</v>
      </c>
      <c r="F20" s="53" t="s">
        <v>544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43789</v>
      </c>
      <c r="M20" s="69">
        <v>43790</v>
      </c>
      <c r="N20" s="70">
        <f>1519.88/2</f>
        <v>759.94</v>
      </c>
      <c r="O20" s="70">
        <f>1519.88/2</f>
        <v>759.94</v>
      </c>
      <c r="P20" s="70">
        <f t="shared" si="0"/>
        <v>1519.88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2"/>
        <v>0</v>
      </c>
      <c r="V20" s="70">
        <f t="shared" si="3"/>
        <v>1519.88</v>
      </c>
      <c r="W20" s="70">
        <f t="shared" si="4"/>
        <v>1519.88</v>
      </c>
      <c r="X20" s="53"/>
    </row>
    <row r="21" spans="1:46" ht="14.5" x14ac:dyDescent="0.3">
      <c r="A21" s="76" t="s">
        <v>372</v>
      </c>
      <c r="B21" s="76" t="s">
        <v>372</v>
      </c>
      <c r="C21" s="76" t="s">
        <v>134</v>
      </c>
      <c r="D21" s="29" t="s">
        <v>151</v>
      </c>
      <c r="E21" s="20" t="s">
        <v>411</v>
      </c>
      <c r="F21" s="53" t="s">
        <v>544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43789</v>
      </c>
      <c r="M21" s="69">
        <v>43790</v>
      </c>
      <c r="N21" s="70">
        <f>1519.88/2</f>
        <v>759.94</v>
      </c>
      <c r="O21" s="70">
        <f>1519.88/2</f>
        <v>759.94</v>
      </c>
      <c r="P21" s="70">
        <f t="shared" si="0"/>
        <v>1519.88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2"/>
        <v>240</v>
      </c>
      <c r="V21" s="70">
        <f t="shared" si="3"/>
        <v>1759.88</v>
      </c>
      <c r="W21" s="70">
        <f t="shared" si="4"/>
        <v>1759.88</v>
      </c>
      <c r="X21" s="53"/>
    </row>
    <row r="22" spans="1:46" ht="25" x14ac:dyDescent="0.3">
      <c r="A22" s="76" t="s">
        <v>512</v>
      </c>
      <c r="B22" s="76" t="s">
        <v>512</v>
      </c>
      <c r="C22" s="76" t="s">
        <v>478</v>
      </c>
      <c r="D22" s="56" t="s">
        <v>104</v>
      </c>
      <c r="E22" s="66" t="s">
        <v>55</v>
      </c>
      <c r="F22" s="53" t="s">
        <v>544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43789</v>
      </c>
      <c r="M22" s="69">
        <v>43790</v>
      </c>
      <c r="N22" s="70">
        <f>1450.8/2</f>
        <v>725.4</v>
      </c>
      <c r="O22" s="70">
        <f>1450.8/2</f>
        <v>725.4</v>
      </c>
      <c r="P22" s="70">
        <f t="shared" si="0"/>
        <v>1450.8</v>
      </c>
      <c r="Q22" s="53">
        <v>0</v>
      </c>
      <c r="R22" s="70">
        <v>0</v>
      </c>
      <c r="S22" s="53">
        <v>0</v>
      </c>
      <c r="T22" s="70">
        <v>0</v>
      </c>
      <c r="U22" s="70">
        <f t="shared" si="2"/>
        <v>0</v>
      </c>
      <c r="V22" s="70">
        <f t="shared" si="3"/>
        <v>1450.8</v>
      </c>
      <c r="W22" s="70">
        <f t="shared" si="4"/>
        <v>1450.8</v>
      </c>
      <c r="X22" s="53"/>
    </row>
    <row r="23" spans="1:46" ht="25" x14ac:dyDescent="0.3">
      <c r="A23" s="76" t="s">
        <v>512</v>
      </c>
      <c r="B23" s="76" t="s">
        <v>250</v>
      </c>
      <c r="C23" s="76" t="s">
        <v>319</v>
      </c>
      <c r="D23" s="56" t="s">
        <v>324</v>
      </c>
      <c r="E23" s="20" t="s">
        <v>352</v>
      </c>
      <c r="F23" s="53" t="s">
        <v>544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43789</v>
      </c>
      <c r="M23" s="69">
        <v>43790</v>
      </c>
      <c r="N23" s="70">
        <f>1450.8/2</f>
        <v>725.4</v>
      </c>
      <c r="O23" s="70">
        <f>1450.8/2</f>
        <v>725.4</v>
      </c>
      <c r="P23" s="70">
        <f t="shared" si="0"/>
        <v>1450.8</v>
      </c>
      <c r="Q23" s="53">
        <v>2</v>
      </c>
      <c r="R23" s="70">
        <v>120</v>
      </c>
      <c r="S23" s="53">
        <v>0</v>
      </c>
      <c r="T23" s="70">
        <v>0</v>
      </c>
      <c r="U23" s="70">
        <f t="shared" si="2"/>
        <v>240</v>
      </c>
      <c r="V23" s="70">
        <f t="shared" si="3"/>
        <v>1690.8</v>
      </c>
      <c r="W23" s="70">
        <f t="shared" si="4"/>
        <v>1690.8</v>
      </c>
      <c r="X23" s="53"/>
    </row>
    <row r="24" spans="1:46" ht="25" x14ac:dyDescent="0.3">
      <c r="A24" s="76" t="s">
        <v>229</v>
      </c>
      <c r="B24" s="76" t="s">
        <v>215</v>
      </c>
      <c r="C24" s="76" t="s">
        <v>48</v>
      </c>
      <c r="D24" s="29" t="s">
        <v>81</v>
      </c>
      <c r="E24" s="20" t="s">
        <v>56</v>
      </c>
      <c r="F24" s="53" t="s">
        <v>346</v>
      </c>
      <c r="G24" s="53" t="s">
        <v>31</v>
      </c>
      <c r="H24" s="53" t="s">
        <v>32</v>
      </c>
      <c r="I24" s="53" t="s">
        <v>33</v>
      </c>
      <c r="J24" s="53" t="s">
        <v>38</v>
      </c>
      <c r="K24" s="53" t="s">
        <v>39</v>
      </c>
      <c r="L24" s="69">
        <v>43797</v>
      </c>
      <c r="M24" s="69">
        <v>43797</v>
      </c>
      <c r="N24" s="70">
        <f>1609.79/2</f>
        <v>804.89499999999998</v>
      </c>
      <c r="O24" s="70">
        <f>1609.79/2</f>
        <v>804.89499999999998</v>
      </c>
      <c r="P24" s="70">
        <f t="shared" si="0"/>
        <v>1609.79</v>
      </c>
      <c r="Q24" s="53">
        <v>2</v>
      </c>
      <c r="R24" s="70">
        <v>120</v>
      </c>
      <c r="S24" s="53">
        <v>0</v>
      </c>
      <c r="T24" s="70">
        <v>0</v>
      </c>
      <c r="U24" s="70">
        <f t="shared" si="2"/>
        <v>240</v>
      </c>
      <c r="V24" s="70">
        <f t="shared" si="3"/>
        <v>1849.79</v>
      </c>
      <c r="W24" s="70">
        <f t="shared" si="4"/>
        <v>1849.79</v>
      </c>
      <c r="X24" s="53"/>
    </row>
    <row r="25" spans="1:46" ht="25" x14ac:dyDescent="0.3">
      <c r="A25" s="76" t="s">
        <v>512</v>
      </c>
      <c r="B25" s="76" t="s">
        <v>250</v>
      </c>
      <c r="C25" s="76" t="s">
        <v>478</v>
      </c>
      <c r="D25" s="56" t="s">
        <v>104</v>
      </c>
      <c r="E25" s="66" t="s">
        <v>55</v>
      </c>
      <c r="F25" s="53" t="s">
        <v>346</v>
      </c>
      <c r="G25" s="53" t="s">
        <v>31</v>
      </c>
      <c r="H25" s="53" t="s">
        <v>32</v>
      </c>
      <c r="I25" s="53" t="s">
        <v>33</v>
      </c>
      <c r="J25" s="53" t="s">
        <v>38</v>
      </c>
      <c r="K25" s="53" t="s">
        <v>39</v>
      </c>
      <c r="L25" s="69">
        <v>43797</v>
      </c>
      <c r="M25" s="69">
        <v>43797</v>
      </c>
      <c r="N25" s="70">
        <f>1312.2/2</f>
        <v>656.1</v>
      </c>
      <c r="O25" s="70">
        <f>1312.2/2</f>
        <v>656.1</v>
      </c>
      <c r="P25" s="70">
        <f t="shared" si="0"/>
        <v>1312.2</v>
      </c>
      <c r="Q25" s="53">
        <v>0</v>
      </c>
      <c r="R25" s="70">
        <v>0</v>
      </c>
      <c r="S25" s="53">
        <v>0</v>
      </c>
      <c r="T25" s="70">
        <v>0</v>
      </c>
      <c r="U25" s="70">
        <f t="shared" si="2"/>
        <v>0</v>
      </c>
      <c r="V25" s="70">
        <f t="shared" si="3"/>
        <v>1312.2</v>
      </c>
      <c r="W25" s="70">
        <f t="shared" si="4"/>
        <v>1312.2</v>
      </c>
      <c r="X25" s="53"/>
    </row>
    <row r="26" spans="1:46" ht="25" x14ac:dyDescent="0.3">
      <c r="A26" s="76" t="s">
        <v>372</v>
      </c>
      <c r="B26" s="76" t="s">
        <v>272</v>
      </c>
      <c r="C26" s="76" t="s">
        <v>545</v>
      </c>
      <c r="D26" s="29" t="s">
        <v>552</v>
      </c>
      <c r="E26" s="20" t="s">
        <v>353</v>
      </c>
      <c r="F26" s="53" t="s">
        <v>546</v>
      </c>
      <c r="G26" s="53" t="s">
        <v>31</v>
      </c>
      <c r="H26" s="53" t="s">
        <v>32</v>
      </c>
      <c r="I26" s="53" t="s">
        <v>33</v>
      </c>
      <c r="J26" s="53" t="s">
        <v>38</v>
      </c>
      <c r="K26" s="53" t="s">
        <v>39</v>
      </c>
      <c r="L26" s="69">
        <v>43795</v>
      </c>
      <c r="M26" s="69">
        <v>43797</v>
      </c>
      <c r="N26" s="70">
        <f>1652.58/2</f>
        <v>826.29</v>
      </c>
      <c r="O26" s="70">
        <f>1652.58/2</f>
        <v>826.29</v>
      </c>
      <c r="P26" s="70">
        <f t="shared" si="0"/>
        <v>1652.58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2"/>
        <v>660</v>
      </c>
      <c r="V26" s="70">
        <f t="shared" si="3"/>
        <v>2312.58</v>
      </c>
      <c r="W26" s="70">
        <f t="shared" si="4"/>
        <v>2312.58</v>
      </c>
      <c r="X26" s="53"/>
    </row>
    <row r="27" spans="1:46" ht="25" x14ac:dyDescent="0.3">
      <c r="A27" s="76" t="s">
        <v>512</v>
      </c>
      <c r="B27" s="76" t="s">
        <v>250</v>
      </c>
      <c r="C27" s="76" t="s">
        <v>478</v>
      </c>
      <c r="D27" s="56" t="s">
        <v>104</v>
      </c>
      <c r="E27" s="66" t="s">
        <v>55</v>
      </c>
      <c r="F27" s="53" t="s">
        <v>547</v>
      </c>
      <c r="G27" s="53" t="s">
        <v>31</v>
      </c>
      <c r="H27" s="53" t="s">
        <v>32</v>
      </c>
      <c r="I27" s="53" t="s">
        <v>33</v>
      </c>
      <c r="J27" s="53" t="s">
        <v>38</v>
      </c>
      <c r="K27" s="53" t="s">
        <v>39</v>
      </c>
      <c r="L27" s="69">
        <v>43795</v>
      </c>
      <c r="M27" s="69">
        <v>43797</v>
      </c>
      <c r="N27" s="70">
        <f>1881.08/2</f>
        <v>940.54</v>
      </c>
      <c r="O27" s="70">
        <f>1881.08/2</f>
        <v>940.54</v>
      </c>
      <c r="P27" s="70">
        <f t="shared" si="0"/>
        <v>1881.08</v>
      </c>
      <c r="Q27" s="53">
        <v>0</v>
      </c>
      <c r="R27" s="70">
        <v>0</v>
      </c>
      <c r="S27" s="53">
        <v>0</v>
      </c>
      <c r="T27" s="70">
        <v>0</v>
      </c>
      <c r="U27" s="70">
        <f t="shared" si="2"/>
        <v>0</v>
      </c>
      <c r="V27" s="70">
        <f t="shared" si="3"/>
        <v>1881.08</v>
      </c>
      <c r="W27" s="70">
        <f t="shared" si="4"/>
        <v>1881.08</v>
      </c>
      <c r="X2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T16"/>
  <sheetViews>
    <sheetView topLeftCell="A6" workbookViewId="0">
      <selection activeCell="D5" sqref="D5:E6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20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6" t="s">
        <v>0</v>
      </c>
      <c r="W5" s="336"/>
      <c r="X5" s="72">
        <v>43586</v>
      </c>
    </row>
    <row r="6" spans="1:46" ht="14" x14ac:dyDescent="0.3">
      <c r="A6" s="337" t="s">
        <v>4</v>
      </c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</row>
    <row r="7" spans="1:46" ht="14" x14ac:dyDescent="0.3">
      <c r="A7" s="337" t="s">
        <v>5</v>
      </c>
      <c r="B7" s="337"/>
      <c r="C7" s="337" t="s">
        <v>6</v>
      </c>
      <c r="D7" s="337"/>
      <c r="E7" s="337"/>
      <c r="F7" s="337" t="s">
        <v>3</v>
      </c>
      <c r="G7" s="337"/>
      <c r="H7" s="337"/>
      <c r="I7" s="337"/>
      <c r="J7" s="337"/>
      <c r="K7" s="337"/>
      <c r="L7" s="337"/>
      <c r="M7" s="337"/>
      <c r="N7" s="337" t="s">
        <v>7</v>
      </c>
      <c r="O7" s="337"/>
      <c r="P7" s="337"/>
      <c r="Q7" s="337" t="s">
        <v>1</v>
      </c>
      <c r="R7" s="337"/>
      <c r="S7" s="337"/>
      <c r="T7" s="337"/>
      <c r="U7" s="337"/>
      <c r="V7" s="337"/>
      <c r="W7" s="337" t="s">
        <v>8</v>
      </c>
      <c r="X7" s="390" t="s">
        <v>9</v>
      </c>
    </row>
    <row r="8" spans="1:46" s="9" customFormat="1" ht="14" x14ac:dyDescent="0.3">
      <c r="A8" s="338" t="s">
        <v>10</v>
      </c>
      <c r="B8" s="338" t="s">
        <v>11</v>
      </c>
      <c r="C8" s="338" t="s">
        <v>12</v>
      </c>
      <c r="D8" s="338" t="s">
        <v>13</v>
      </c>
      <c r="E8" s="338" t="s">
        <v>14</v>
      </c>
      <c r="F8" s="338" t="s">
        <v>15</v>
      </c>
      <c r="G8" s="338" t="s">
        <v>16</v>
      </c>
      <c r="H8" s="338" t="s">
        <v>17</v>
      </c>
      <c r="I8" s="338"/>
      <c r="J8" s="339" t="s">
        <v>18</v>
      </c>
      <c r="K8" s="339"/>
      <c r="L8" s="338" t="s">
        <v>19</v>
      </c>
      <c r="M8" s="338" t="s">
        <v>20</v>
      </c>
      <c r="N8" s="339" t="s">
        <v>21</v>
      </c>
      <c r="O8" s="339" t="s">
        <v>22</v>
      </c>
      <c r="P8" s="339" t="s">
        <v>23</v>
      </c>
      <c r="Q8" s="339" t="s">
        <v>24</v>
      </c>
      <c r="R8" s="339"/>
      <c r="S8" s="339" t="s">
        <v>25</v>
      </c>
      <c r="T8" s="339"/>
      <c r="U8" s="338" t="s">
        <v>26</v>
      </c>
      <c r="V8" s="339" t="s">
        <v>23</v>
      </c>
      <c r="W8" s="337"/>
      <c r="X8" s="390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3">
      <c r="A9" s="338"/>
      <c r="B9" s="338"/>
      <c r="C9" s="338"/>
      <c r="D9" s="338"/>
      <c r="E9" s="338"/>
      <c r="F9" s="338"/>
      <c r="G9" s="338"/>
      <c r="H9" s="10" t="s">
        <v>27</v>
      </c>
      <c r="I9" s="10" t="s">
        <v>28</v>
      </c>
      <c r="J9" s="10" t="s">
        <v>27</v>
      </c>
      <c r="K9" s="11" t="s">
        <v>29</v>
      </c>
      <c r="L9" s="338"/>
      <c r="M9" s="338"/>
      <c r="N9" s="339"/>
      <c r="O9" s="339"/>
      <c r="P9" s="339"/>
      <c r="Q9" s="10" t="s">
        <v>2</v>
      </c>
      <c r="R9" s="11" t="s">
        <v>30</v>
      </c>
      <c r="S9" s="10" t="s">
        <v>2</v>
      </c>
      <c r="T9" s="11" t="s">
        <v>30</v>
      </c>
      <c r="U9" s="338"/>
      <c r="V9" s="339"/>
      <c r="W9" s="337"/>
      <c r="X9" s="391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" x14ac:dyDescent="0.3">
      <c r="A10" s="76" t="s">
        <v>372</v>
      </c>
      <c r="B10" s="76" t="s">
        <v>272</v>
      </c>
      <c r="C10" s="83" t="s">
        <v>282</v>
      </c>
      <c r="D10" s="29" t="s">
        <v>557</v>
      </c>
      <c r="E10" s="20" t="s">
        <v>353</v>
      </c>
      <c r="F10" s="53" t="s">
        <v>553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43807</v>
      </c>
      <c r="M10" s="69">
        <v>43811</v>
      </c>
      <c r="N10" s="70">
        <f>1766.28/2</f>
        <v>883.14</v>
      </c>
      <c r="O10" s="70">
        <f>1766.28/2</f>
        <v>883.14</v>
      </c>
      <c r="P10" s="70">
        <f t="shared" ref="P10:P16" si="0">SUM(N10:O10)</f>
        <v>1766.28</v>
      </c>
      <c r="Q10" s="53">
        <v>5</v>
      </c>
      <c r="R10" s="70">
        <v>120</v>
      </c>
      <c r="S10" s="53">
        <v>0</v>
      </c>
      <c r="T10" s="70">
        <v>0</v>
      </c>
      <c r="U10" s="70">
        <f>(Q10*R10)+(S10*T10)</f>
        <v>600</v>
      </c>
      <c r="V10" s="70">
        <f>U10+P10</f>
        <v>2366.2799999999997</v>
      </c>
      <c r="W10" s="70">
        <f>V10</f>
        <v>2366.2799999999997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14.5" x14ac:dyDescent="0.3">
      <c r="A11" s="76" t="s">
        <v>372</v>
      </c>
      <c r="B11" s="76" t="s">
        <v>225</v>
      </c>
      <c r="C11" s="76" t="s">
        <v>201</v>
      </c>
      <c r="D11" s="29" t="s">
        <v>204</v>
      </c>
      <c r="E11" s="20" t="s">
        <v>211</v>
      </c>
      <c r="F11" s="53" t="s">
        <v>346</v>
      </c>
      <c r="G11" s="53" t="s">
        <v>31</v>
      </c>
      <c r="H11" s="53" t="s">
        <v>32</v>
      </c>
      <c r="I11" s="53" t="s">
        <v>33</v>
      </c>
      <c r="J11" s="53" t="s">
        <v>38</v>
      </c>
      <c r="K11" s="53" t="s">
        <v>39</v>
      </c>
      <c r="L11" s="69">
        <v>43808</v>
      </c>
      <c r="M11" s="69">
        <v>43808</v>
      </c>
      <c r="N11" s="70">
        <f>1072.59/2</f>
        <v>536.29499999999996</v>
      </c>
      <c r="O11" s="70">
        <f>1072.59/2</f>
        <v>536.29499999999996</v>
      </c>
      <c r="P11" s="70">
        <f t="shared" si="0"/>
        <v>1072.5899999999999</v>
      </c>
      <c r="Q11" s="53">
        <v>1</v>
      </c>
      <c r="R11" s="70">
        <v>120</v>
      </c>
      <c r="S11" s="53">
        <v>2</v>
      </c>
      <c r="T11" s="70">
        <v>100</v>
      </c>
      <c r="U11" s="70">
        <f t="shared" ref="U11:U16" si="1">(Q11*R11)+(S11*T11)</f>
        <v>320</v>
      </c>
      <c r="V11" s="70">
        <f t="shared" ref="V11:V16" si="2">U11+P11</f>
        <v>1392.59</v>
      </c>
      <c r="W11" s="70">
        <f t="shared" ref="W11:W16" si="3">V11</f>
        <v>1392.59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" x14ac:dyDescent="0.35">
      <c r="A12" s="76" t="s">
        <v>229</v>
      </c>
      <c r="B12" s="76" t="s">
        <v>215</v>
      </c>
      <c r="C12" s="78" t="s">
        <v>48</v>
      </c>
      <c r="D12" s="29" t="s">
        <v>81</v>
      </c>
      <c r="E12" s="20" t="s">
        <v>56</v>
      </c>
      <c r="F12" s="53" t="s">
        <v>346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39</v>
      </c>
      <c r="L12" s="69">
        <v>43808</v>
      </c>
      <c r="M12" s="69">
        <v>43808</v>
      </c>
      <c r="N12" s="70">
        <f>1134.88/2</f>
        <v>567.44000000000005</v>
      </c>
      <c r="O12" s="70">
        <f>1134.88/2</f>
        <v>567.44000000000005</v>
      </c>
      <c r="P12" s="70">
        <f t="shared" si="0"/>
        <v>1134.8800000000001</v>
      </c>
      <c r="Q12" s="53">
        <v>1</v>
      </c>
      <c r="R12" s="70">
        <v>120</v>
      </c>
      <c r="S12" s="53">
        <v>1</v>
      </c>
      <c r="T12" s="70">
        <v>120</v>
      </c>
      <c r="U12" s="70">
        <f t="shared" si="1"/>
        <v>240</v>
      </c>
      <c r="V12" s="70">
        <f t="shared" si="2"/>
        <v>1374.88</v>
      </c>
      <c r="W12" s="70">
        <f t="shared" si="3"/>
        <v>1374.88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" x14ac:dyDescent="0.3">
      <c r="A13" s="76" t="s">
        <v>250</v>
      </c>
      <c r="B13" s="76" t="s">
        <v>250</v>
      </c>
      <c r="C13" s="80" t="s">
        <v>478</v>
      </c>
      <c r="D13" s="56" t="s">
        <v>104</v>
      </c>
      <c r="E13" s="66" t="s">
        <v>55</v>
      </c>
      <c r="F13" s="53" t="s">
        <v>554</v>
      </c>
      <c r="G13" s="53" t="s">
        <v>31</v>
      </c>
      <c r="H13" s="53" t="s">
        <v>32</v>
      </c>
      <c r="I13" s="53" t="s">
        <v>33</v>
      </c>
      <c r="J13" s="53" t="s">
        <v>409</v>
      </c>
      <c r="K13" s="53" t="s">
        <v>408</v>
      </c>
      <c r="L13" s="69">
        <v>43807</v>
      </c>
      <c r="M13" s="69">
        <v>43808</v>
      </c>
      <c r="N13" s="70">
        <f>747.92/2</f>
        <v>373.96</v>
      </c>
      <c r="O13" s="70">
        <f>747.92/2</f>
        <v>373.96</v>
      </c>
      <c r="P13" s="70">
        <f t="shared" si="0"/>
        <v>747.92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747.92</v>
      </c>
      <c r="W13" s="70">
        <f t="shared" si="3"/>
        <v>747.92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" x14ac:dyDescent="0.3">
      <c r="A14" s="76" t="s">
        <v>250</v>
      </c>
      <c r="B14" s="76" t="s">
        <v>258</v>
      </c>
      <c r="C14" s="76" t="s">
        <v>319</v>
      </c>
      <c r="D14" s="56" t="s">
        <v>324</v>
      </c>
      <c r="E14" s="20" t="s">
        <v>352</v>
      </c>
      <c r="F14" s="53" t="s">
        <v>554</v>
      </c>
      <c r="G14" s="53" t="s">
        <v>31</v>
      </c>
      <c r="H14" s="53" t="s">
        <v>32</v>
      </c>
      <c r="I14" s="53" t="s">
        <v>33</v>
      </c>
      <c r="J14" s="53" t="s">
        <v>409</v>
      </c>
      <c r="K14" s="53" t="s">
        <v>408</v>
      </c>
      <c r="L14" s="69">
        <v>43807</v>
      </c>
      <c r="M14" s="69">
        <v>43808</v>
      </c>
      <c r="N14" s="70">
        <f>972.48/2</f>
        <v>486.24</v>
      </c>
      <c r="O14" s="70">
        <f>972.48/2</f>
        <v>486.24</v>
      </c>
      <c r="P14" s="70">
        <f t="shared" si="0"/>
        <v>972.48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1212.48</v>
      </c>
      <c r="W14" s="70">
        <f t="shared" si="3"/>
        <v>1212.48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ht="37.5" x14ac:dyDescent="0.3">
      <c r="A15" s="76" t="s">
        <v>250</v>
      </c>
      <c r="B15" s="76" t="s">
        <v>289</v>
      </c>
      <c r="C15" s="81" t="s">
        <v>370</v>
      </c>
      <c r="D15" s="29" t="s">
        <v>381</v>
      </c>
      <c r="E15" s="20" t="s">
        <v>127</v>
      </c>
      <c r="F15" s="53" t="s">
        <v>555</v>
      </c>
      <c r="G15" s="53" t="s">
        <v>31</v>
      </c>
      <c r="H15" s="53" t="s">
        <v>32</v>
      </c>
      <c r="I15" s="53" t="s">
        <v>33</v>
      </c>
      <c r="J15" s="53" t="s">
        <v>61</v>
      </c>
      <c r="K15" s="53" t="s">
        <v>62</v>
      </c>
      <c r="L15" s="69">
        <v>43800</v>
      </c>
      <c r="M15" s="69">
        <v>43803</v>
      </c>
      <c r="N15" s="70">
        <f>1715.52/2</f>
        <v>857.76</v>
      </c>
      <c r="O15" s="70">
        <f>1715.52/2</f>
        <v>857.76</v>
      </c>
      <c r="P15" s="70">
        <f t="shared" si="0"/>
        <v>1715.52</v>
      </c>
      <c r="Q15" s="53">
        <v>4</v>
      </c>
      <c r="R15" s="70">
        <v>120</v>
      </c>
      <c r="S15" s="53">
        <v>0</v>
      </c>
      <c r="T15" s="70">
        <v>0</v>
      </c>
      <c r="U15" s="70">
        <f t="shared" si="1"/>
        <v>480</v>
      </c>
      <c r="V15" s="70">
        <f t="shared" si="2"/>
        <v>2195.52</v>
      </c>
      <c r="W15" s="70">
        <f t="shared" si="3"/>
        <v>2195.52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" x14ac:dyDescent="0.3">
      <c r="A16" s="76" t="s">
        <v>250</v>
      </c>
      <c r="B16" s="76" t="s">
        <v>212</v>
      </c>
      <c r="C16" s="76" t="s">
        <v>98</v>
      </c>
      <c r="D16" s="29" t="s">
        <v>99</v>
      </c>
      <c r="E16" s="20" t="s">
        <v>128</v>
      </c>
      <c r="F16" s="53" t="s">
        <v>556</v>
      </c>
      <c r="G16" s="53" t="s">
        <v>31</v>
      </c>
      <c r="H16" s="53" t="s">
        <v>32</v>
      </c>
      <c r="I16" s="53" t="s">
        <v>33</v>
      </c>
      <c r="J16" s="53" t="s">
        <v>61</v>
      </c>
      <c r="K16" s="53" t="s">
        <v>413</v>
      </c>
      <c r="L16" s="69">
        <v>43808</v>
      </c>
      <c r="M16" s="69">
        <v>43812</v>
      </c>
      <c r="N16" s="70">
        <v>2985.81</v>
      </c>
      <c r="O16" s="70">
        <v>1062</v>
      </c>
      <c r="P16" s="70">
        <f t="shared" si="0"/>
        <v>4047.81</v>
      </c>
      <c r="Q16" s="53">
        <v>5</v>
      </c>
      <c r="R16" s="70">
        <v>120</v>
      </c>
      <c r="S16" s="53">
        <v>5</v>
      </c>
      <c r="T16" s="70">
        <v>100</v>
      </c>
      <c r="U16" s="70">
        <f t="shared" si="1"/>
        <v>1100</v>
      </c>
      <c r="V16" s="70">
        <f t="shared" si="2"/>
        <v>5147.8099999999995</v>
      </c>
      <c r="W16" s="70">
        <f t="shared" si="3"/>
        <v>5147.8099999999995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T13"/>
  <sheetViews>
    <sheetView topLeftCell="A6" workbookViewId="0">
      <selection activeCell="D5" sqref="D5:E6"/>
    </sheetView>
  </sheetViews>
  <sheetFormatPr defaultRowHeight="15" customHeight="1" x14ac:dyDescent="0.3"/>
  <cols>
    <col min="1" max="1" width="38.33203125" customWidth="1"/>
    <col min="2" max="2" width="41.33203125" customWidth="1"/>
    <col min="3" max="3" width="46" bestFit="1" customWidth="1"/>
    <col min="4" max="4" width="35.08203125" customWidth="1"/>
    <col min="5" max="5" width="20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6" t="s">
        <v>0</v>
      </c>
      <c r="W5" s="336"/>
      <c r="X5" s="72">
        <v>43586</v>
      </c>
    </row>
    <row r="6" spans="1:46" ht="14" x14ac:dyDescent="0.3">
      <c r="A6" s="337" t="s">
        <v>4</v>
      </c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</row>
    <row r="7" spans="1:46" ht="14" x14ac:dyDescent="0.3">
      <c r="A7" s="337" t="s">
        <v>5</v>
      </c>
      <c r="B7" s="337"/>
      <c r="C7" s="337" t="s">
        <v>6</v>
      </c>
      <c r="D7" s="337"/>
      <c r="E7" s="337"/>
      <c r="F7" s="337" t="s">
        <v>3</v>
      </c>
      <c r="G7" s="337"/>
      <c r="H7" s="337"/>
      <c r="I7" s="337"/>
      <c r="J7" s="337"/>
      <c r="K7" s="337"/>
      <c r="L7" s="337"/>
      <c r="M7" s="337"/>
      <c r="N7" s="337" t="s">
        <v>7</v>
      </c>
      <c r="O7" s="337"/>
      <c r="P7" s="337"/>
      <c r="Q7" s="337" t="s">
        <v>1</v>
      </c>
      <c r="R7" s="337"/>
      <c r="S7" s="337"/>
      <c r="T7" s="337"/>
      <c r="U7" s="337"/>
      <c r="V7" s="337"/>
      <c r="W7" s="337" t="s">
        <v>8</v>
      </c>
      <c r="X7" s="390" t="s">
        <v>9</v>
      </c>
    </row>
    <row r="8" spans="1:46" s="9" customFormat="1" ht="14" x14ac:dyDescent="0.3">
      <c r="A8" s="338" t="s">
        <v>10</v>
      </c>
      <c r="B8" s="338" t="s">
        <v>11</v>
      </c>
      <c r="C8" s="338" t="s">
        <v>12</v>
      </c>
      <c r="D8" s="338" t="s">
        <v>13</v>
      </c>
      <c r="E8" s="338" t="s">
        <v>14</v>
      </c>
      <c r="F8" s="338" t="s">
        <v>15</v>
      </c>
      <c r="G8" s="338" t="s">
        <v>16</v>
      </c>
      <c r="H8" s="338" t="s">
        <v>17</v>
      </c>
      <c r="I8" s="338"/>
      <c r="J8" s="339" t="s">
        <v>18</v>
      </c>
      <c r="K8" s="339"/>
      <c r="L8" s="338" t="s">
        <v>19</v>
      </c>
      <c r="M8" s="338" t="s">
        <v>20</v>
      </c>
      <c r="N8" s="339" t="s">
        <v>21</v>
      </c>
      <c r="O8" s="339" t="s">
        <v>22</v>
      </c>
      <c r="P8" s="339" t="s">
        <v>23</v>
      </c>
      <c r="Q8" s="339" t="s">
        <v>24</v>
      </c>
      <c r="R8" s="339"/>
      <c r="S8" s="339" t="s">
        <v>25</v>
      </c>
      <c r="T8" s="339"/>
      <c r="U8" s="338" t="s">
        <v>26</v>
      </c>
      <c r="V8" s="339" t="s">
        <v>23</v>
      </c>
      <c r="W8" s="337"/>
      <c r="X8" s="390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3">
      <c r="A9" s="338"/>
      <c r="B9" s="338"/>
      <c r="C9" s="338"/>
      <c r="D9" s="338"/>
      <c r="E9" s="338"/>
      <c r="F9" s="338"/>
      <c r="G9" s="338"/>
      <c r="H9" s="10" t="s">
        <v>27</v>
      </c>
      <c r="I9" s="10" t="s">
        <v>28</v>
      </c>
      <c r="J9" s="10" t="s">
        <v>27</v>
      </c>
      <c r="K9" s="11" t="s">
        <v>29</v>
      </c>
      <c r="L9" s="338"/>
      <c r="M9" s="338"/>
      <c r="N9" s="339"/>
      <c r="O9" s="339"/>
      <c r="P9" s="339"/>
      <c r="Q9" s="10" t="s">
        <v>2</v>
      </c>
      <c r="R9" s="11" t="s">
        <v>30</v>
      </c>
      <c r="S9" s="10" t="s">
        <v>2</v>
      </c>
      <c r="T9" s="11" t="s">
        <v>30</v>
      </c>
      <c r="U9" s="338"/>
      <c r="V9" s="339"/>
      <c r="W9" s="337"/>
      <c r="X9" s="391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" x14ac:dyDescent="0.3">
      <c r="A10" s="76" t="s">
        <v>250</v>
      </c>
      <c r="B10" s="76" t="s">
        <v>212</v>
      </c>
      <c r="C10" s="83" t="s">
        <v>98</v>
      </c>
      <c r="D10" s="29" t="s">
        <v>99</v>
      </c>
      <c r="E10" s="20" t="s">
        <v>128</v>
      </c>
      <c r="F10" s="53" t="s">
        <v>558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413</v>
      </c>
      <c r="L10" s="69">
        <v>43850</v>
      </c>
      <c r="M10" s="69">
        <v>43854</v>
      </c>
      <c r="N10" s="70">
        <f>2720.71/2</f>
        <v>1360.355</v>
      </c>
      <c r="O10" s="70">
        <f>2720.71/2</f>
        <v>1360.355</v>
      </c>
      <c r="P10" s="70">
        <f t="shared" ref="P10:P13" si="0">SUM(N10:O10)</f>
        <v>2720.71</v>
      </c>
      <c r="Q10" s="53">
        <v>5</v>
      </c>
      <c r="R10" s="70">
        <v>120</v>
      </c>
      <c r="S10" s="53">
        <v>5</v>
      </c>
      <c r="T10" s="70">
        <v>100</v>
      </c>
      <c r="U10" s="70">
        <f>(Q10*R10)+(S10*T10)</f>
        <v>1100</v>
      </c>
      <c r="V10" s="70">
        <f>U10+P10</f>
        <v>3820.71</v>
      </c>
      <c r="W10" s="70">
        <f>V10</f>
        <v>3820.71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" x14ac:dyDescent="0.3">
      <c r="A11" s="76" t="s">
        <v>250</v>
      </c>
      <c r="B11" s="76" t="s">
        <v>258</v>
      </c>
      <c r="C11" s="76" t="s">
        <v>375</v>
      </c>
      <c r="D11" s="29" t="s">
        <v>383</v>
      </c>
      <c r="E11" s="20" t="s">
        <v>388</v>
      </c>
      <c r="F11" s="53" t="s">
        <v>559</v>
      </c>
      <c r="G11" s="53" t="s">
        <v>31</v>
      </c>
      <c r="H11" s="53" t="s">
        <v>32</v>
      </c>
      <c r="I11" s="53" t="s">
        <v>33</v>
      </c>
      <c r="J11" s="53" t="s">
        <v>32</v>
      </c>
      <c r="K11" s="53" t="s">
        <v>390</v>
      </c>
      <c r="L11" s="69">
        <v>43844</v>
      </c>
      <c r="M11" s="69">
        <v>43846</v>
      </c>
      <c r="N11" s="70">
        <f>1070.83/2</f>
        <v>535.41499999999996</v>
      </c>
      <c r="O11" s="70">
        <f>1070.83/2</f>
        <v>535.41499999999996</v>
      </c>
      <c r="P11" s="70">
        <f t="shared" si="0"/>
        <v>1070.83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13" si="1">(Q11*R11)+(S11*T11)</f>
        <v>360</v>
      </c>
      <c r="V11" s="70">
        <f t="shared" ref="V11:V13" si="2">U11+P11</f>
        <v>1430.83</v>
      </c>
      <c r="W11" s="70">
        <f t="shared" ref="W11:W13" si="3">V11</f>
        <v>1430.83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" x14ac:dyDescent="0.35">
      <c r="A12" s="76" t="s">
        <v>250</v>
      </c>
      <c r="B12" s="76" t="s">
        <v>250</v>
      </c>
      <c r="C12" s="78" t="s">
        <v>319</v>
      </c>
      <c r="D12" s="56" t="s">
        <v>324</v>
      </c>
      <c r="E12" s="20" t="s">
        <v>352</v>
      </c>
      <c r="F12" s="53" t="s">
        <v>559</v>
      </c>
      <c r="G12" s="53" t="s">
        <v>31</v>
      </c>
      <c r="H12" s="53" t="s">
        <v>32</v>
      </c>
      <c r="I12" s="53" t="s">
        <v>33</v>
      </c>
      <c r="J12" s="53" t="s">
        <v>32</v>
      </c>
      <c r="K12" s="53" t="s">
        <v>390</v>
      </c>
      <c r="L12" s="69">
        <v>43844</v>
      </c>
      <c r="M12" s="69">
        <v>43846</v>
      </c>
      <c r="N12" s="70">
        <f>1070.83/2</f>
        <v>535.41499999999996</v>
      </c>
      <c r="O12" s="70">
        <f>1070.83/2</f>
        <v>535.41499999999996</v>
      </c>
      <c r="P12" s="70">
        <f t="shared" si="0"/>
        <v>1070.83</v>
      </c>
      <c r="Q12" s="53">
        <v>3</v>
      </c>
      <c r="R12" s="70">
        <v>120</v>
      </c>
      <c r="S12" s="53">
        <v>0</v>
      </c>
      <c r="T12" s="70">
        <v>0</v>
      </c>
      <c r="U12" s="70">
        <f t="shared" si="1"/>
        <v>360</v>
      </c>
      <c r="V12" s="70">
        <f t="shared" si="2"/>
        <v>1430.83</v>
      </c>
      <c r="W12" s="70">
        <f t="shared" si="3"/>
        <v>1430.83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" x14ac:dyDescent="0.3">
      <c r="A13" s="76" t="s">
        <v>250</v>
      </c>
      <c r="B13" s="76" t="s">
        <v>250</v>
      </c>
      <c r="C13" s="80" t="s">
        <v>478</v>
      </c>
      <c r="D13" s="56" t="s">
        <v>104</v>
      </c>
      <c r="E13" s="66" t="s">
        <v>55</v>
      </c>
      <c r="F13" s="53" t="s">
        <v>560</v>
      </c>
      <c r="G13" s="53" t="s">
        <v>31</v>
      </c>
      <c r="H13" s="53" t="s">
        <v>32</v>
      </c>
      <c r="I13" s="53" t="s">
        <v>33</v>
      </c>
      <c r="J13" s="53" t="s">
        <v>38</v>
      </c>
      <c r="K13" s="53" t="s">
        <v>39</v>
      </c>
      <c r="L13" s="69">
        <v>43859</v>
      </c>
      <c r="M13" s="69">
        <v>43859</v>
      </c>
      <c r="N13" s="70">
        <f>2118.56/2</f>
        <v>1059.28</v>
      </c>
      <c r="O13" s="70">
        <f>2118.56/2</f>
        <v>1059.28</v>
      </c>
      <c r="P13" s="70">
        <f t="shared" si="0"/>
        <v>2118.56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2118.56</v>
      </c>
      <c r="W13" s="70">
        <f t="shared" si="3"/>
        <v>2118.56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X24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38"/>
      <c r="B4" s="338"/>
      <c r="C4" s="338"/>
      <c r="D4" s="338"/>
      <c r="E4" s="338"/>
      <c r="F4" s="338"/>
      <c r="G4" s="338"/>
      <c r="H4" s="10" t="s">
        <v>27</v>
      </c>
      <c r="I4" s="10" t="s">
        <v>28</v>
      </c>
      <c r="J4" s="10" t="s">
        <v>27</v>
      </c>
      <c r="K4" s="11" t="s">
        <v>29</v>
      </c>
      <c r="L4" s="338"/>
      <c r="M4" s="338"/>
      <c r="N4" s="339"/>
      <c r="O4" s="339"/>
      <c r="P4" s="339"/>
      <c r="Q4" s="10" t="s">
        <v>2</v>
      </c>
      <c r="R4" s="11" t="s">
        <v>30</v>
      </c>
      <c r="S4" s="10" t="s">
        <v>2</v>
      </c>
      <c r="T4" s="11" t="s">
        <v>30</v>
      </c>
      <c r="U4" s="338"/>
      <c r="V4" s="339"/>
      <c r="W4" s="337"/>
      <c r="X4" s="391"/>
    </row>
    <row r="5" spans="1:24" ht="25" x14ac:dyDescent="0.3">
      <c r="A5" s="91" t="s">
        <v>232</v>
      </c>
      <c r="B5" s="91" t="s">
        <v>232</v>
      </c>
      <c r="C5" s="91" t="s">
        <v>565</v>
      </c>
      <c r="D5" s="29"/>
      <c r="E5" s="20" t="s">
        <v>561</v>
      </c>
      <c r="F5" s="53" t="s">
        <v>569</v>
      </c>
      <c r="G5" s="53" t="s">
        <v>31</v>
      </c>
      <c r="H5" s="53" t="s">
        <v>32</v>
      </c>
      <c r="I5" s="53" t="s">
        <v>33</v>
      </c>
      <c r="J5" s="53" t="s">
        <v>203</v>
      </c>
      <c r="K5" s="53" t="s">
        <v>202</v>
      </c>
      <c r="L5" s="69">
        <v>43872</v>
      </c>
      <c r="M5" s="69">
        <v>43875</v>
      </c>
      <c r="N5" s="70">
        <f t="shared" ref="N5:N12" si="0">P5/2</f>
        <v>597.14</v>
      </c>
      <c r="O5" s="70">
        <f>N5</f>
        <v>597.14</v>
      </c>
      <c r="P5" s="70">
        <v>1194.28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1194.28</v>
      </c>
      <c r="W5" s="70">
        <f>V5</f>
        <v>1194.28</v>
      </c>
      <c r="X5" s="53"/>
    </row>
    <row r="6" spans="1:24" ht="25" x14ac:dyDescent="0.3">
      <c r="A6" s="91" t="s">
        <v>232</v>
      </c>
      <c r="B6" s="76" t="s">
        <v>449</v>
      </c>
      <c r="C6" s="91" t="s">
        <v>564</v>
      </c>
      <c r="D6" s="29"/>
      <c r="E6" s="20" t="s">
        <v>562</v>
      </c>
      <c r="F6" s="53" t="s">
        <v>569</v>
      </c>
      <c r="G6" s="53" t="s">
        <v>31</v>
      </c>
      <c r="H6" s="53" t="s">
        <v>32</v>
      </c>
      <c r="I6" s="53" t="s">
        <v>33</v>
      </c>
      <c r="J6" s="53" t="s">
        <v>203</v>
      </c>
      <c r="K6" s="53" t="s">
        <v>202</v>
      </c>
      <c r="L6" s="69">
        <v>43872</v>
      </c>
      <c r="M6" s="69">
        <v>43875</v>
      </c>
      <c r="N6" s="70">
        <f t="shared" si="0"/>
        <v>597.14</v>
      </c>
      <c r="O6" s="70">
        <f t="shared" ref="O6:O12" si="1">P6/2</f>
        <v>597.14</v>
      </c>
      <c r="P6" s="70">
        <v>1194.28</v>
      </c>
      <c r="Q6" s="53">
        <v>0</v>
      </c>
      <c r="R6" s="70">
        <v>0</v>
      </c>
      <c r="S6" s="53">
        <v>0</v>
      </c>
      <c r="T6" s="70">
        <v>0</v>
      </c>
      <c r="U6" s="70">
        <f t="shared" ref="U6:U12" si="2">(Q6*R6)+(S6*T6)</f>
        <v>0</v>
      </c>
      <c r="V6" s="70">
        <f t="shared" ref="V6:V12" si="3">U6+P6</f>
        <v>1194.28</v>
      </c>
      <c r="W6" s="70">
        <f t="shared" ref="W6:W12" si="4">V6</f>
        <v>1194.28</v>
      </c>
      <c r="X6" s="53"/>
    </row>
    <row r="7" spans="1:24" ht="25" x14ac:dyDescent="0.3">
      <c r="A7" s="91" t="s">
        <v>232</v>
      </c>
      <c r="B7" s="91" t="s">
        <v>568</v>
      </c>
      <c r="C7" s="76" t="s">
        <v>48</v>
      </c>
      <c r="D7" s="29" t="s">
        <v>81</v>
      </c>
      <c r="E7" s="20" t="s">
        <v>56</v>
      </c>
      <c r="F7" s="53" t="s">
        <v>569</v>
      </c>
      <c r="G7" s="53" t="s">
        <v>31</v>
      </c>
      <c r="H7" s="53" t="s">
        <v>32</v>
      </c>
      <c r="I7" s="53" t="s">
        <v>33</v>
      </c>
      <c r="J7" s="53" t="s">
        <v>203</v>
      </c>
      <c r="K7" s="53" t="s">
        <v>202</v>
      </c>
      <c r="L7" s="69">
        <v>43872</v>
      </c>
      <c r="M7" s="69">
        <v>43875</v>
      </c>
      <c r="N7" s="70">
        <f t="shared" si="0"/>
        <v>640.01</v>
      </c>
      <c r="O7" s="70">
        <f t="shared" si="1"/>
        <v>640.01</v>
      </c>
      <c r="P7" s="70">
        <v>1280.02</v>
      </c>
      <c r="Q7" s="53">
        <v>4</v>
      </c>
      <c r="R7" s="70">
        <v>120</v>
      </c>
      <c r="S7" s="53">
        <v>2</v>
      </c>
      <c r="T7" s="70">
        <v>120</v>
      </c>
      <c r="U7" s="70">
        <f t="shared" si="2"/>
        <v>720</v>
      </c>
      <c r="V7" s="70">
        <f t="shared" si="3"/>
        <v>2000.02</v>
      </c>
      <c r="W7" s="70">
        <f t="shared" si="4"/>
        <v>2000.02</v>
      </c>
      <c r="X7" s="53" t="s">
        <v>74</v>
      </c>
    </row>
    <row r="8" spans="1:24" ht="25" x14ac:dyDescent="0.3">
      <c r="A8" s="91" t="s">
        <v>232</v>
      </c>
      <c r="B8" s="91" t="s">
        <v>568</v>
      </c>
      <c r="C8" s="76" t="s">
        <v>48</v>
      </c>
      <c r="D8" s="29" t="s">
        <v>81</v>
      </c>
      <c r="E8" s="20" t="s">
        <v>56</v>
      </c>
      <c r="F8" s="53" t="s">
        <v>571</v>
      </c>
      <c r="G8" s="53" t="s">
        <v>31</v>
      </c>
      <c r="H8" s="53" t="s">
        <v>32</v>
      </c>
      <c r="I8" s="53" t="s">
        <v>33</v>
      </c>
      <c r="J8" s="53" t="s">
        <v>61</v>
      </c>
      <c r="K8" s="53" t="s">
        <v>62</v>
      </c>
      <c r="L8" s="69">
        <v>43863</v>
      </c>
      <c r="M8" s="69">
        <v>43865</v>
      </c>
      <c r="N8" s="70">
        <f t="shared" si="0"/>
        <v>1031.115</v>
      </c>
      <c r="O8" s="70">
        <f t="shared" si="1"/>
        <v>1031.115</v>
      </c>
      <c r="P8" s="70">
        <v>2062.23</v>
      </c>
      <c r="Q8" s="53">
        <v>2</v>
      </c>
      <c r="R8" s="70">
        <v>120</v>
      </c>
      <c r="S8" s="53">
        <v>2</v>
      </c>
      <c r="T8" s="70">
        <v>120</v>
      </c>
      <c r="U8" s="70">
        <f t="shared" si="2"/>
        <v>480</v>
      </c>
      <c r="V8" s="70">
        <f t="shared" si="3"/>
        <v>2542.23</v>
      </c>
      <c r="W8" s="70">
        <f t="shared" si="4"/>
        <v>2542.23</v>
      </c>
      <c r="X8" s="53" t="s">
        <v>74</v>
      </c>
    </row>
    <row r="9" spans="1:24" ht="37.5" x14ac:dyDescent="0.3">
      <c r="A9" s="92" t="s">
        <v>233</v>
      </c>
      <c r="B9" s="92" t="s">
        <v>233</v>
      </c>
      <c r="C9" s="92" t="s">
        <v>566</v>
      </c>
      <c r="D9" s="87"/>
      <c r="E9" s="88" t="s">
        <v>55</v>
      </c>
      <c r="F9" s="53" t="s">
        <v>569</v>
      </c>
      <c r="G9" s="84" t="s">
        <v>31</v>
      </c>
      <c r="H9" s="84" t="s">
        <v>32</v>
      </c>
      <c r="I9" s="84" t="s">
        <v>33</v>
      </c>
      <c r="J9" s="84" t="s">
        <v>203</v>
      </c>
      <c r="K9" s="84" t="s">
        <v>202</v>
      </c>
      <c r="L9" s="89">
        <v>43872</v>
      </c>
      <c r="M9" s="89">
        <v>43875</v>
      </c>
      <c r="N9" s="90">
        <f t="shared" si="0"/>
        <v>778.26</v>
      </c>
      <c r="O9" s="90">
        <f t="shared" si="1"/>
        <v>778.26</v>
      </c>
      <c r="P9" s="90">
        <v>1556.52</v>
      </c>
      <c r="Q9" s="86">
        <v>0</v>
      </c>
      <c r="R9" s="70">
        <v>0</v>
      </c>
      <c r="S9" s="53">
        <v>0</v>
      </c>
      <c r="T9" s="70">
        <v>0</v>
      </c>
      <c r="U9" s="70">
        <f t="shared" si="2"/>
        <v>0</v>
      </c>
      <c r="V9" s="70">
        <f t="shared" si="3"/>
        <v>1556.52</v>
      </c>
      <c r="W9" s="70">
        <f t="shared" si="4"/>
        <v>1556.52</v>
      </c>
      <c r="X9" s="86"/>
    </row>
    <row r="10" spans="1:24" ht="37.5" x14ac:dyDescent="0.3">
      <c r="A10" s="92" t="s">
        <v>233</v>
      </c>
      <c r="B10" s="92" t="s">
        <v>233</v>
      </c>
      <c r="C10" s="92" t="s">
        <v>566</v>
      </c>
      <c r="D10" s="87"/>
      <c r="E10" s="88" t="s">
        <v>55</v>
      </c>
      <c r="F10" s="79" t="s">
        <v>570</v>
      </c>
      <c r="G10" s="84" t="s">
        <v>31</v>
      </c>
      <c r="H10" s="84" t="s">
        <v>32</v>
      </c>
      <c r="I10" s="84" t="s">
        <v>33</v>
      </c>
      <c r="J10" s="84" t="s">
        <v>38</v>
      </c>
      <c r="K10" s="84" t="s">
        <v>563</v>
      </c>
      <c r="L10" s="89">
        <v>43878</v>
      </c>
      <c r="M10" s="89">
        <v>43879</v>
      </c>
      <c r="N10" s="90">
        <f t="shared" si="0"/>
        <v>912.6</v>
      </c>
      <c r="O10" s="90">
        <f t="shared" si="1"/>
        <v>912.6</v>
      </c>
      <c r="P10" s="90">
        <v>1825.2</v>
      </c>
      <c r="Q10" s="79">
        <v>0</v>
      </c>
      <c r="R10" s="70">
        <v>0</v>
      </c>
      <c r="S10" s="53">
        <v>0</v>
      </c>
      <c r="T10" s="70">
        <v>0</v>
      </c>
      <c r="U10" s="70">
        <f t="shared" si="2"/>
        <v>0</v>
      </c>
      <c r="V10" s="70">
        <f t="shared" si="3"/>
        <v>1825.2</v>
      </c>
      <c r="W10" s="70">
        <f t="shared" si="4"/>
        <v>1825.2</v>
      </c>
      <c r="X10" s="79"/>
    </row>
    <row r="11" spans="1:24" ht="25" x14ac:dyDescent="0.3">
      <c r="A11" s="92" t="s">
        <v>233</v>
      </c>
      <c r="B11" s="92" t="s">
        <v>233</v>
      </c>
      <c r="C11" s="92" t="s">
        <v>567</v>
      </c>
      <c r="D11" s="56" t="s">
        <v>324</v>
      </c>
      <c r="E11" s="20" t="s">
        <v>352</v>
      </c>
      <c r="F11" s="79" t="s">
        <v>570</v>
      </c>
      <c r="G11" s="84" t="s">
        <v>31</v>
      </c>
      <c r="H11" s="84" t="s">
        <v>32</v>
      </c>
      <c r="I11" s="84" t="s">
        <v>33</v>
      </c>
      <c r="J11" s="84" t="s">
        <v>38</v>
      </c>
      <c r="K11" s="84" t="s">
        <v>563</v>
      </c>
      <c r="L11" s="89">
        <v>43878</v>
      </c>
      <c r="M11" s="89">
        <v>43879</v>
      </c>
      <c r="N11" s="90">
        <f t="shared" si="0"/>
        <v>860.1</v>
      </c>
      <c r="O11" s="90">
        <f t="shared" si="1"/>
        <v>860.1</v>
      </c>
      <c r="P11" s="90">
        <v>1720.2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2"/>
        <v>240</v>
      </c>
      <c r="V11" s="70">
        <f t="shared" si="3"/>
        <v>1960.2</v>
      </c>
      <c r="W11" s="70">
        <f t="shared" si="4"/>
        <v>1960.2</v>
      </c>
      <c r="X11" s="53" t="s">
        <v>74</v>
      </c>
    </row>
    <row r="12" spans="1:24" ht="25" x14ac:dyDescent="0.3">
      <c r="A12" s="95" t="s">
        <v>372</v>
      </c>
      <c r="B12" s="76" t="s">
        <v>372</v>
      </c>
      <c r="C12" s="76" t="s">
        <v>134</v>
      </c>
      <c r="D12" s="29" t="s">
        <v>151</v>
      </c>
      <c r="E12" s="20" t="s">
        <v>352</v>
      </c>
      <c r="F12" s="79" t="s">
        <v>570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563</v>
      </c>
      <c r="L12" s="69">
        <v>43878</v>
      </c>
      <c r="M12" s="69">
        <v>43879</v>
      </c>
      <c r="N12" s="85">
        <f t="shared" si="0"/>
        <v>690.43499999999995</v>
      </c>
      <c r="O12" s="85">
        <f t="shared" si="1"/>
        <v>690.43499999999995</v>
      </c>
      <c r="P12" s="85">
        <v>1380.87</v>
      </c>
      <c r="Q12" s="53">
        <v>2</v>
      </c>
      <c r="R12" s="70">
        <v>120</v>
      </c>
      <c r="S12" s="53">
        <v>0</v>
      </c>
      <c r="T12" s="70">
        <v>0</v>
      </c>
      <c r="U12" s="70">
        <f t="shared" si="2"/>
        <v>240</v>
      </c>
      <c r="V12" s="70">
        <f t="shared" si="3"/>
        <v>1620.87</v>
      </c>
      <c r="W12" s="70">
        <f t="shared" si="4"/>
        <v>1620.87</v>
      </c>
      <c r="X12" s="53" t="s">
        <v>74</v>
      </c>
    </row>
    <row r="18" spans="3:17" x14ac:dyDescent="0.3">
      <c r="Q18" s="93"/>
    </row>
    <row r="19" spans="3:17" x14ac:dyDescent="0.3">
      <c r="Q19" s="93"/>
    </row>
    <row r="20" spans="3:17" x14ac:dyDescent="0.3">
      <c r="Q20" s="93"/>
    </row>
    <row r="21" spans="3:17" x14ac:dyDescent="0.3">
      <c r="Q21" s="93"/>
    </row>
    <row r="23" spans="3:17" ht="25" x14ac:dyDescent="0.3">
      <c r="C23" s="29"/>
      <c r="D23" s="20" t="s">
        <v>561</v>
      </c>
    </row>
    <row r="24" spans="3:17" ht="50" x14ac:dyDescent="0.3">
      <c r="C24" s="87"/>
      <c r="D24" s="88" t="s">
        <v>55</v>
      </c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6"/>
  <sheetViews>
    <sheetView topLeftCell="A7" workbookViewId="0">
      <selection activeCell="E26" sqref="E26"/>
    </sheetView>
  </sheetViews>
  <sheetFormatPr defaultRowHeight="15" customHeight="1" x14ac:dyDescent="0.3"/>
  <cols>
    <col min="1" max="1" width="8.58203125" customWidth="1"/>
    <col min="2" max="2" width="10.75" customWidth="1"/>
    <col min="3" max="3" width="44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6" t="s">
        <v>0</v>
      </c>
      <c r="W5" s="336"/>
      <c r="X5" s="8">
        <v>42979</v>
      </c>
    </row>
    <row r="6" spans="1:24" ht="14" x14ac:dyDescent="0.3">
      <c r="A6" s="337" t="s">
        <v>4</v>
      </c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</row>
    <row r="7" spans="1:24" ht="14" x14ac:dyDescent="0.3">
      <c r="A7" s="337" t="s">
        <v>5</v>
      </c>
      <c r="B7" s="337"/>
      <c r="C7" s="337" t="s">
        <v>6</v>
      </c>
      <c r="D7" s="337"/>
      <c r="E7" s="337"/>
      <c r="F7" s="337" t="s">
        <v>3</v>
      </c>
      <c r="G7" s="337"/>
      <c r="H7" s="337"/>
      <c r="I7" s="337"/>
      <c r="J7" s="337"/>
      <c r="K7" s="337"/>
      <c r="L7" s="337"/>
      <c r="M7" s="337"/>
      <c r="N7" s="337" t="s">
        <v>7</v>
      </c>
      <c r="O7" s="337"/>
      <c r="P7" s="337"/>
      <c r="Q7" s="337" t="s">
        <v>1</v>
      </c>
      <c r="R7" s="337"/>
      <c r="S7" s="337"/>
      <c r="T7" s="337"/>
      <c r="U7" s="337"/>
      <c r="V7" s="337"/>
      <c r="W7" s="337" t="s">
        <v>8</v>
      </c>
      <c r="X7" s="337" t="s">
        <v>9</v>
      </c>
    </row>
    <row r="8" spans="1:24" s="9" customFormat="1" ht="14" x14ac:dyDescent="0.3">
      <c r="A8" s="338" t="s">
        <v>10</v>
      </c>
      <c r="B8" s="338" t="s">
        <v>11</v>
      </c>
      <c r="C8" s="338" t="s">
        <v>12</v>
      </c>
      <c r="D8" s="338" t="s">
        <v>13</v>
      </c>
      <c r="E8" s="338" t="s">
        <v>14</v>
      </c>
      <c r="F8" s="338" t="s">
        <v>15</v>
      </c>
      <c r="G8" s="338" t="s">
        <v>16</v>
      </c>
      <c r="H8" s="338" t="s">
        <v>17</v>
      </c>
      <c r="I8" s="338"/>
      <c r="J8" s="339" t="s">
        <v>18</v>
      </c>
      <c r="K8" s="339"/>
      <c r="L8" s="338" t="s">
        <v>19</v>
      </c>
      <c r="M8" s="338" t="s">
        <v>20</v>
      </c>
      <c r="N8" s="339" t="s">
        <v>21</v>
      </c>
      <c r="O8" s="339" t="s">
        <v>22</v>
      </c>
      <c r="P8" s="339" t="s">
        <v>23</v>
      </c>
      <c r="Q8" s="339" t="s">
        <v>24</v>
      </c>
      <c r="R8" s="339"/>
      <c r="S8" s="339" t="s">
        <v>25</v>
      </c>
      <c r="T8" s="339"/>
      <c r="U8" s="338" t="s">
        <v>26</v>
      </c>
      <c r="V8" s="339" t="s">
        <v>23</v>
      </c>
      <c r="W8" s="337"/>
      <c r="X8" s="337"/>
    </row>
    <row r="9" spans="1:24" s="9" customFormat="1" ht="14" x14ac:dyDescent="0.3">
      <c r="A9" s="338"/>
      <c r="B9" s="338"/>
      <c r="C9" s="338"/>
      <c r="D9" s="338"/>
      <c r="E9" s="338"/>
      <c r="F9" s="338"/>
      <c r="G9" s="338"/>
      <c r="H9" s="10" t="s">
        <v>27</v>
      </c>
      <c r="I9" s="10" t="s">
        <v>28</v>
      </c>
      <c r="J9" s="10" t="s">
        <v>27</v>
      </c>
      <c r="K9" s="11" t="s">
        <v>29</v>
      </c>
      <c r="L9" s="338"/>
      <c r="M9" s="338"/>
      <c r="N9" s="339"/>
      <c r="O9" s="339"/>
      <c r="P9" s="339"/>
      <c r="Q9" s="10" t="s">
        <v>2</v>
      </c>
      <c r="R9" s="11" t="s">
        <v>30</v>
      </c>
      <c r="S9" s="10" t="s">
        <v>2</v>
      </c>
      <c r="T9" s="11" t="s">
        <v>30</v>
      </c>
      <c r="U9" s="338"/>
      <c r="V9" s="339"/>
      <c r="W9" s="337"/>
      <c r="X9" s="337"/>
    </row>
    <row r="10" spans="1:24" ht="50" x14ac:dyDescent="0.3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7.5" x14ac:dyDescent="0.3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7.5" x14ac:dyDescent="0.3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" x14ac:dyDescent="0.3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" x14ac:dyDescent="0.3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50" x14ac:dyDescent="0.3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" x14ac:dyDescent="0.3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7.5" x14ac:dyDescent="0.3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" x14ac:dyDescent="0.3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" x14ac:dyDescent="0.3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" x14ac:dyDescent="0.3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" x14ac:dyDescent="0.3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" x14ac:dyDescent="0.3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" x14ac:dyDescent="0.3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" x14ac:dyDescent="0.3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7.5" x14ac:dyDescent="0.3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" x14ac:dyDescent="0.3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X16"/>
  <sheetViews>
    <sheetView topLeftCell="F1"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38"/>
      <c r="B4" s="338"/>
      <c r="C4" s="338"/>
      <c r="D4" s="338"/>
      <c r="E4" s="338"/>
      <c r="F4" s="338"/>
      <c r="G4" s="338"/>
      <c r="H4" s="10" t="s">
        <v>27</v>
      </c>
      <c r="I4" s="10" t="s">
        <v>28</v>
      </c>
      <c r="J4" s="10" t="s">
        <v>27</v>
      </c>
      <c r="K4" s="11" t="s">
        <v>29</v>
      </c>
      <c r="L4" s="338"/>
      <c r="M4" s="338"/>
      <c r="N4" s="339"/>
      <c r="O4" s="339"/>
      <c r="P4" s="339"/>
      <c r="Q4" s="10" t="s">
        <v>2</v>
      </c>
      <c r="R4" s="11" t="s">
        <v>30</v>
      </c>
      <c r="S4" s="10" t="s">
        <v>2</v>
      </c>
      <c r="T4" s="11" t="s">
        <v>30</v>
      </c>
      <c r="U4" s="338"/>
      <c r="V4" s="339"/>
      <c r="W4" s="337"/>
      <c r="X4" s="391"/>
    </row>
    <row r="5" spans="1:24" ht="25" x14ac:dyDescent="0.3">
      <c r="A5" s="91" t="s">
        <v>232</v>
      </c>
      <c r="B5" s="91" t="s">
        <v>568</v>
      </c>
      <c r="C5" s="76" t="s">
        <v>48</v>
      </c>
      <c r="D5" s="29" t="s">
        <v>81</v>
      </c>
      <c r="E5" s="20" t="s">
        <v>56</v>
      </c>
      <c r="F5" s="53" t="s">
        <v>569</v>
      </c>
      <c r="G5" s="53" t="s">
        <v>31</v>
      </c>
      <c r="H5" s="53" t="s">
        <v>32</v>
      </c>
      <c r="I5" s="53" t="s">
        <v>33</v>
      </c>
      <c r="J5" s="53" t="s">
        <v>38</v>
      </c>
      <c r="K5" s="53" t="s">
        <v>39</v>
      </c>
      <c r="L5" s="69">
        <v>43902</v>
      </c>
      <c r="M5" s="69">
        <v>43902</v>
      </c>
      <c r="N5" s="70">
        <f>980.94/2</f>
        <v>490.47</v>
      </c>
      <c r="O5" s="70">
        <f>980.94/2</f>
        <v>490.47</v>
      </c>
      <c r="P5" s="70">
        <f>SUM(N5:O5)</f>
        <v>980.94</v>
      </c>
      <c r="Q5" s="53">
        <v>2</v>
      </c>
      <c r="R5" s="70">
        <v>120</v>
      </c>
      <c r="S5" s="53">
        <v>0</v>
      </c>
      <c r="T5" s="70">
        <v>0</v>
      </c>
      <c r="U5" s="70">
        <f>(Q5*R5)+(S5*T5)</f>
        <v>240</v>
      </c>
      <c r="V5" s="70">
        <f>U5+P5</f>
        <v>1220.94</v>
      </c>
      <c r="W5" s="70">
        <f>V5</f>
        <v>1220.94</v>
      </c>
      <c r="X5" s="53" t="s">
        <v>74</v>
      </c>
    </row>
    <row r="6" spans="1:24" ht="37.5" x14ac:dyDescent="0.3">
      <c r="A6" s="92" t="s">
        <v>233</v>
      </c>
      <c r="B6" s="92" t="s">
        <v>233</v>
      </c>
      <c r="C6" s="92" t="s">
        <v>566</v>
      </c>
      <c r="D6" s="87"/>
      <c r="E6" s="88" t="s">
        <v>55</v>
      </c>
      <c r="F6" s="53" t="s">
        <v>569</v>
      </c>
      <c r="G6" s="84" t="s">
        <v>31</v>
      </c>
      <c r="H6" s="84" t="s">
        <v>32</v>
      </c>
      <c r="I6" s="84" t="s">
        <v>33</v>
      </c>
      <c r="J6" s="53" t="s">
        <v>38</v>
      </c>
      <c r="K6" s="53" t="s">
        <v>39</v>
      </c>
      <c r="L6" s="89">
        <v>43902</v>
      </c>
      <c r="M6" s="89">
        <v>43902</v>
      </c>
      <c r="N6" s="70">
        <f>980.94/2</f>
        <v>490.47</v>
      </c>
      <c r="O6" s="70">
        <f>980.94/2</f>
        <v>490.47</v>
      </c>
      <c r="P6" s="70">
        <f t="shared" ref="P6:P7" si="0">SUM(N6:O6)</f>
        <v>980.94</v>
      </c>
      <c r="Q6" s="86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980.94</v>
      </c>
      <c r="W6" s="70">
        <f t="shared" ref="W6:W7" si="3">V6</f>
        <v>980.94</v>
      </c>
      <c r="X6" s="86"/>
    </row>
    <row r="7" spans="1:24" ht="37.5" x14ac:dyDescent="0.3">
      <c r="A7" s="76" t="s">
        <v>250</v>
      </c>
      <c r="B7" s="76" t="s">
        <v>212</v>
      </c>
      <c r="C7" s="91" t="s">
        <v>98</v>
      </c>
      <c r="D7" s="29" t="s">
        <v>99</v>
      </c>
      <c r="E7" s="20" t="s">
        <v>128</v>
      </c>
      <c r="F7" s="53" t="s">
        <v>558</v>
      </c>
      <c r="G7" s="53" t="s">
        <v>31</v>
      </c>
      <c r="H7" s="53" t="s">
        <v>32</v>
      </c>
      <c r="I7" s="53" t="s">
        <v>33</v>
      </c>
      <c r="J7" s="53" t="s">
        <v>61</v>
      </c>
      <c r="K7" s="53" t="s">
        <v>413</v>
      </c>
      <c r="L7" s="69">
        <v>43892</v>
      </c>
      <c r="M7" s="69">
        <v>43895</v>
      </c>
      <c r="N7" s="85">
        <f>2026.59/2</f>
        <v>1013.295</v>
      </c>
      <c r="O7" s="85">
        <f>2026.59/2</f>
        <v>1013.295</v>
      </c>
      <c r="P7" s="70">
        <f t="shared" si="0"/>
        <v>2026.59</v>
      </c>
      <c r="Q7" s="94">
        <v>4</v>
      </c>
      <c r="R7" s="70">
        <v>120</v>
      </c>
      <c r="S7" s="53">
        <v>4</v>
      </c>
      <c r="T7" s="70">
        <v>100</v>
      </c>
      <c r="U7" s="70">
        <f t="shared" si="1"/>
        <v>880</v>
      </c>
      <c r="V7" s="70">
        <f t="shared" si="2"/>
        <v>2906.59</v>
      </c>
      <c r="W7" s="70">
        <f t="shared" si="3"/>
        <v>2906.59</v>
      </c>
      <c r="X7" s="79"/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  <row r="16" spans="1:24" x14ac:dyDescent="0.3">
      <c r="Q16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X21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38"/>
      <c r="B4" s="338"/>
      <c r="C4" s="338"/>
      <c r="D4" s="338"/>
      <c r="E4" s="338"/>
      <c r="F4" s="338"/>
      <c r="G4" s="338"/>
      <c r="H4" s="10" t="s">
        <v>27</v>
      </c>
      <c r="I4" s="10" t="s">
        <v>28</v>
      </c>
      <c r="J4" s="10" t="s">
        <v>27</v>
      </c>
      <c r="K4" s="11" t="s">
        <v>29</v>
      </c>
      <c r="L4" s="338"/>
      <c r="M4" s="338"/>
      <c r="N4" s="339"/>
      <c r="O4" s="339"/>
      <c r="P4" s="339"/>
      <c r="Q4" s="10" t="s">
        <v>2</v>
      </c>
      <c r="R4" s="11" t="s">
        <v>30</v>
      </c>
      <c r="S4" s="10" t="s">
        <v>2</v>
      </c>
      <c r="T4" s="11" t="s">
        <v>30</v>
      </c>
      <c r="U4" s="338"/>
      <c r="V4" s="339"/>
      <c r="W4" s="337"/>
      <c r="X4" s="391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X21"/>
  <sheetViews>
    <sheetView topLeftCell="C1"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38"/>
      <c r="B4" s="338"/>
      <c r="C4" s="338"/>
      <c r="D4" s="338"/>
      <c r="E4" s="338"/>
      <c r="F4" s="338"/>
      <c r="G4" s="338"/>
      <c r="H4" s="10" t="s">
        <v>27</v>
      </c>
      <c r="I4" s="10" t="s">
        <v>28</v>
      </c>
      <c r="J4" s="10" t="s">
        <v>27</v>
      </c>
      <c r="K4" s="11" t="s">
        <v>29</v>
      </c>
      <c r="L4" s="338"/>
      <c r="M4" s="338"/>
      <c r="N4" s="339"/>
      <c r="O4" s="339"/>
      <c r="P4" s="339"/>
      <c r="Q4" s="10" t="s">
        <v>2</v>
      </c>
      <c r="R4" s="11" t="s">
        <v>30</v>
      </c>
      <c r="S4" s="10" t="s">
        <v>2</v>
      </c>
      <c r="T4" s="11" t="s">
        <v>30</v>
      </c>
      <c r="U4" s="338"/>
      <c r="V4" s="339"/>
      <c r="W4" s="337"/>
      <c r="X4" s="391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X21"/>
  <sheetViews>
    <sheetView topLeftCell="C1"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38"/>
      <c r="B4" s="338"/>
      <c r="C4" s="338"/>
      <c r="D4" s="338"/>
      <c r="E4" s="338"/>
      <c r="F4" s="338"/>
      <c r="G4" s="338"/>
      <c r="H4" s="10" t="s">
        <v>27</v>
      </c>
      <c r="I4" s="10" t="s">
        <v>28</v>
      </c>
      <c r="J4" s="10" t="s">
        <v>27</v>
      </c>
      <c r="K4" s="11" t="s">
        <v>29</v>
      </c>
      <c r="L4" s="338"/>
      <c r="M4" s="338"/>
      <c r="N4" s="339"/>
      <c r="O4" s="339"/>
      <c r="P4" s="339"/>
      <c r="Q4" s="10" t="s">
        <v>2</v>
      </c>
      <c r="R4" s="11" t="s">
        <v>30</v>
      </c>
      <c r="S4" s="10" t="s">
        <v>2</v>
      </c>
      <c r="T4" s="11" t="s">
        <v>30</v>
      </c>
      <c r="U4" s="338"/>
      <c r="V4" s="339"/>
      <c r="W4" s="337"/>
      <c r="X4" s="391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X21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38"/>
      <c r="B4" s="338"/>
      <c r="C4" s="338"/>
      <c r="D4" s="338"/>
      <c r="E4" s="338"/>
      <c r="F4" s="338"/>
      <c r="G4" s="338"/>
      <c r="H4" s="10" t="s">
        <v>27</v>
      </c>
      <c r="I4" s="10" t="s">
        <v>28</v>
      </c>
      <c r="J4" s="10" t="s">
        <v>27</v>
      </c>
      <c r="K4" s="11" t="s">
        <v>29</v>
      </c>
      <c r="L4" s="338"/>
      <c r="M4" s="338"/>
      <c r="N4" s="339"/>
      <c r="O4" s="339"/>
      <c r="P4" s="339"/>
      <c r="Q4" s="10" t="s">
        <v>2</v>
      </c>
      <c r="R4" s="11" t="s">
        <v>30</v>
      </c>
      <c r="S4" s="10" t="s">
        <v>2</v>
      </c>
      <c r="T4" s="11" t="s">
        <v>30</v>
      </c>
      <c r="U4" s="338"/>
      <c r="V4" s="339"/>
      <c r="W4" s="337"/>
      <c r="X4" s="391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X21"/>
  <sheetViews>
    <sheetView topLeftCell="E1"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38"/>
      <c r="B4" s="338"/>
      <c r="C4" s="338"/>
      <c r="D4" s="338"/>
      <c r="E4" s="338"/>
      <c r="F4" s="338"/>
      <c r="G4" s="338"/>
      <c r="H4" s="10" t="s">
        <v>27</v>
      </c>
      <c r="I4" s="10" t="s">
        <v>28</v>
      </c>
      <c r="J4" s="10" t="s">
        <v>27</v>
      </c>
      <c r="K4" s="11" t="s">
        <v>29</v>
      </c>
      <c r="L4" s="338"/>
      <c r="M4" s="338"/>
      <c r="N4" s="339"/>
      <c r="O4" s="339"/>
      <c r="P4" s="339"/>
      <c r="Q4" s="10" t="s">
        <v>2</v>
      </c>
      <c r="R4" s="11" t="s">
        <v>30</v>
      </c>
      <c r="S4" s="10" t="s">
        <v>2</v>
      </c>
      <c r="T4" s="11" t="s">
        <v>30</v>
      </c>
      <c r="U4" s="338"/>
      <c r="V4" s="339"/>
      <c r="W4" s="337"/>
      <c r="X4" s="391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X21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38"/>
      <c r="B4" s="338"/>
      <c r="C4" s="338"/>
      <c r="D4" s="338"/>
      <c r="E4" s="338"/>
      <c r="F4" s="338"/>
      <c r="G4" s="338"/>
      <c r="H4" s="10" t="s">
        <v>27</v>
      </c>
      <c r="I4" s="10" t="s">
        <v>28</v>
      </c>
      <c r="J4" s="10" t="s">
        <v>27</v>
      </c>
      <c r="K4" s="11" t="s">
        <v>29</v>
      </c>
      <c r="L4" s="338"/>
      <c r="M4" s="338"/>
      <c r="N4" s="339"/>
      <c r="O4" s="339"/>
      <c r="P4" s="339"/>
      <c r="Q4" s="10" t="s">
        <v>2</v>
      </c>
      <c r="R4" s="11" t="s">
        <v>30</v>
      </c>
      <c r="S4" s="10" t="s">
        <v>2</v>
      </c>
      <c r="T4" s="11" t="s">
        <v>30</v>
      </c>
      <c r="U4" s="338"/>
      <c r="V4" s="339"/>
      <c r="W4" s="337"/>
      <c r="X4" s="391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X15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38"/>
      <c r="B4" s="338"/>
      <c r="C4" s="338"/>
      <c r="D4" s="338"/>
      <c r="E4" s="338"/>
      <c r="F4" s="338"/>
      <c r="G4" s="338"/>
      <c r="H4" s="10" t="s">
        <v>27</v>
      </c>
      <c r="I4" s="10" t="s">
        <v>28</v>
      </c>
      <c r="J4" s="10" t="s">
        <v>27</v>
      </c>
      <c r="K4" s="11" t="s">
        <v>29</v>
      </c>
      <c r="L4" s="338"/>
      <c r="M4" s="338"/>
      <c r="N4" s="339"/>
      <c r="O4" s="339"/>
      <c r="P4" s="339"/>
      <c r="Q4" s="10" t="s">
        <v>2</v>
      </c>
      <c r="R4" s="11" t="s">
        <v>30</v>
      </c>
      <c r="S4" s="10" t="s">
        <v>2</v>
      </c>
      <c r="T4" s="11" t="s">
        <v>30</v>
      </c>
      <c r="U4" s="338"/>
      <c r="V4" s="339"/>
      <c r="W4" s="337"/>
      <c r="X4" s="391"/>
    </row>
    <row r="5" spans="1:24" ht="50" x14ac:dyDescent="0.3">
      <c r="A5" s="91" t="s">
        <v>372</v>
      </c>
      <c r="B5" s="76" t="s">
        <v>398</v>
      </c>
      <c r="C5" s="76" t="s">
        <v>266</v>
      </c>
      <c r="D5" s="29" t="s">
        <v>574</v>
      </c>
      <c r="E5" s="20" t="s">
        <v>158</v>
      </c>
      <c r="F5" s="53" t="s">
        <v>572</v>
      </c>
      <c r="G5" s="53" t="s">
        <v>31</v>
      </c>
      <c r="H5" s="53" t="s">
        <v>32</v>
      </c>
      <c r="I5" s="53" t="s">
        <v>33</v>
      </c>
      <c r="J5" s="53" t="s">
        <v>32</v>
      </c>
      <c r="K5" s="53" t="s">
        <v>390</v>
      </c>
      <c r="L5" s="69">
        <v>44108</v>
      </c>
      <c r="M5" s="69">
        <v>44111</v>
      </c>
      <c r="N5" s="70">
        <f>1523.51/2</f>
        <v>761.755</v>
      </c>
      <c r="O5" s="70">
        <f>1523.51/2</f>
        <v>761.755</v>
      </c>
      <c r="P5" s="70">
        <f>SUM(N5:O5)</f>
        <v>1523.51</v>
      </c>
      <c r="Q5" s="53">
        <v>4</v>
      </c>
      <c r="R5" s="70">
        <v>120</v>
      </c>
      <c r="S5" s="53">
        <v>0</v>
      </c>
      <c r="T5" s="70">
        <v>0</v>
      </c>
      <c r="U5" s="70">
        <f t="shared" ref="U5:U6" si="0">(Q5*R5)+(S5*T5)</f>
        <v>480</v>
      </c>
      <c r="V5" s="70">
        <f>U5+P5</f>
        <v>2003.51</v>
      </c>
      <c r="W5" s="70">
        <f>V5</f>
        <v>2003.51</v>
      </c>
      <c r="X5" s="53"/>
    </row>
    <row r="6" spans="1:24" ht="25" x14ac:dyDescent="0.3">
      <c r="A6" s="76" t="s">
        <v>250</v>
      </c>
      <c r="B6" s="76" t="s">
        <v>258</v>
      </c>
      <c r="C6" s="76" t="s">
        <v>319</v>
      </c>
      <c r="D6" s="56" t="s">
        <v>324</v>
      </c>
      <c r="E6" s="20" t="s">
        <v>352</v>
      </c>
      <c r="F6" s="53" t="s">
        <v>573</v>
      </c>
      <c r="G6" s="53" t="s">
        <v>31</v>
      </c>
      <c r="H6" s="53" t="s">
        <v>32</v>
      </c>
      <c r="I6" s="53" t="s">
        <v>33</v>
      </c>
      <c r="J6" s="53" t="s">
        <v>32</v>
      </c>
      <c r="K6" s="53" t="s">
        <v>390</v>
      </c>
      <c r="L6" s="69">
        <v>44129</v>
      </c>
      <c r="M6" s="69">
        <v>44131</v>
      </c>
      <c r="N6" s="70">
        <f>2030.41/2</f>
        <v>1015.205</v>
      </c>
      <c r="O6" s="70">
        <f>2030.41/2</f>
        <v>1015.205</v>
      </c>
      <c r="P6" s="70">
        <f t="shared" ref="P6" si="1">SUM(N6:O6)</f>
        <v>2030.41</v>
      </c>
      <c r="Q6" s="53">
        <v>3</v>
      </c>
      <c r="R6" s="70">
        <v>120</v>
      </c>
      <c r="S6" s="53"/>
      <c r="T6" s="70"/>
      <c r="U6" s="70">
        <f t="shared" si="0"/>
        <v>360</v>
      </c>
      <c r="V6" s="70">
        <f>U6+P6</f>
        <v>2390.41</v>
      </c>
      <c r="W6" s="70">
        <f>V6</f>
        <v>2390.41</v>
      </c>
      <c r="X6" s="5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X14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21.25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38"/>
      <c r="B4" s="338"/>
      <c r="C4" s="338"/>
      <c r="D4" s="338"/>
      <c r="E4" s="338"/>
      <c r="F4" s="338"/>
      <c r="G4" s="338"/>
      <c r="H4" s="10" t="s">
        <v>27</v>
      </c>
      <c r="I4" s="10" t="s">
        <v>28</v>
      </c>
      <c r="J4" s="10" t="s">
        <v>27</v>
      </c>
      <c r="K4" s="11" t="s">
        <v>29</v>
      </c>
      <c r="L4" s="338"/>
      <c r="M4" s="338"/>
      <c r="N4" s="339"/>
      <c r="O4" s="339"/>
      <c r="P4" s="339"/>
      <c r="Q4" s="10" t="s">
        <v>2</v>
      </c>
      <c r="R4" s="11" t="s">
        <v>30</v>
      </c>
      <c r="S4" s="10" t="s">
        <v>2</v>
      </c>
      <c r="T4" s="11" t="s">
        <v>30</v>
      </c>
      <c r="U4" s="338"/>
      <c r="V4" s="339"/>
      <c r="W4" s="337"/>
      <c r="X4" s="391"/>
    </row>
    <row r="5" spans="1:24" ht="25" x14ac:dyDescent="0.3">
      <c r="A5" s="76" t="s">
        <v>250</v>
      </c>
      <c r="B5" s="76" t="s">
        <v>212</v>
      </c>
      <c r="C5" s="76" t="s">
        <v>539</v>
      </c>
      <c r="D5" s="56" t="s">
        <v>550</v>
      </c>
      <c r="E5" s="20" t="s">
        <v>549</v>
      </c>
      <c r="F5" s="53" t="s">
        <v>575</v>
      </c>
      <c r="G5" s="53" t="s">
        <v>31</v>
      </c>
      <c r="H5" s="53" t="s">
        <v>32</v>
      </c>
      <c r="I5" s="53" t="s">
        <v>33</v>
      </c>
      <c r="J5" s="53" t="s">
        <v>32</v>
      </c>
      <c r="K5" s="53" t="s">
        <v>390</v>
      </c>
      <c r="L5" s="69">
        <v>44145</v>
      </c>
      <c r="M5" s="69">
        <v>44148</v>
      </c>
      <c r="N5" s="70">
        <f>3030.33/2</f>
        <v>1515.165</v>
      </c>
      <c r="O5" s="70">
        <f>3030.33/2</f>
        <v>1515.165</v>
      </c>
      <c r="P5" s="70">
        <f t="shared" ref="P5" si="0">SUM(N5:O5)</f>
        <v>3030.33</v>
      </c>
      <c r="Q5" s="53">
        <v>4</v>
      </c>
      <c r="R5" s="70">
        <v>120</v>
      </c>
      <c r="S5" s="53"/>
      <c r="T5" s="70"/>
      <c r="U5" s="70">
        <f t="shared" ref="U5" si="1">(Q5*R5)+(S5*T5)</f>
        <v>480</v>
      </c>
      <c r="V5" s="70">
        <f>U5+P5</f>
        <v>3510.33</v>
      </c>
      <c r="W5" s="70">
        <f>V5</f>
        <v>3510.33</v>
      </c>
      <c r="X5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X14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21.25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38"/>
      <c r="B4" s="338"/>
      <c r="C4" s="338"/>
      <c r="D4" s="338"/>
      <c r="E4" s="338"/>
      <c r="F4" s="338"/>
      <c r="G4" s="338"/>
      <c r="H4" s="10" t="s">
        <v>27</v>
      </c>
      <c r="I4" s="10" t="s">
        <v>28</v>
      </c>
      <c r="J4" s="10" t="s">
        <v>27</v>
      </c>
      <c r="K4" s="11" t="s">
        <v>29</v>
      </c>
      <c r="L4" s="338"/>
      <c r="M4" s="338"/>
      <c r="N4" s="339"/>
      <c r="O4" s="339"/>
      <c r="P4" s="339"/>
      <c r="Q4" s="10" t="s">
        <v>2</v>
      </c>
      <c r="R4" s="11" t="s">
        <v>30</v>
      </c>
      <c r="S4" s="10" t="s">
        <v>2</v>
      </c>
      <c r="T4" s="11" t="s">
        <v>30</v>
      </c>
      <c r="U4" s="338"/>
      <c r="V4" s="339"/>
      <c r="W4" s="337"/>
      <c r="X4" s="391"/>
    </row>
    <row r="5" spans="1:24" ht="14.5" x14ac:dyDescent="0.3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2"/>
  <sheetViews>
    <sheetView topLeftCell="A16" workbookViewId="0">
      <selection activeCell="E13" sqref="E13"/>
    </sheetView>
  </sheetViews>
  <sheetFormatPr defaultRowHeight="15" customHeight="1" x14ac:dyDescent="0.3"/>
  <cols>
    <col min="1" max="1" width="8.58203125" customWidth="1"/>
    <col min="2" max="2" width="10.75" customWidth="1"/>
    <col min="3" max="3" width="44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6" t="s">
        <v>0</v>
      </c>
      <c r="W5" s="336"/>
      <c r="X5" s="8">
        <v>43009</v>
      </c>
    </row>
    <row r="6" spans="1:24" ht="14" x14ac:dyDescent="0.3">
      <c r="A6" s="337" t="s">
        <v>4</v>
      </c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</row>
    <row r="7" spans="1:24" ht="14" x14ac:dyDescent="0.3">
      <c r="A7" s="337" t="s">
        <v>5</v>
      </c>
      <c r="B7" s="337"/>
      <c r="C7" s="337" t="s">
        <v>6</v>
      </c>
      <c r="D7" s="337"/>
      <c r="E7" s="337"/>
      <c r="F7" s="337" t="s">
        <v>3</v>
      </c>
      <c r="G7" s="337"/>
      <c r="H7" s="337"/>
      <c r="I7" s="337"/>
      <c r="J7" s="337"/>
      <c r="K7" s="337"/>
      <c r="L7" s="337"/>
      <c r="M7" s="337"/>
      <c r="N7" s="337" t="s">
        <v>7</v>
      </c>
      <c r="O7" s="337"/>
      <c r="P7" s="337"/>
      <c r="Q7" s="337" t="s">
        <v>1</v>
      </c>
      <c r="R7" s="337"/>
      <c r="S7" s="337"/>
      <c r="T7" s="337"/>
      <c r="U7" s="337"/>
      <c r="V7" s="337"/>
      <c r="W7" s="337" t="s">
        <v>8</v>
      </c>
      <c r="X7" s="337" t="s">
        <v>9</v>
      </c>
    </row>
    <row r="8" spans="1:24" s="9" customFormat="1" ht="14" x14ac:dyDescent="0.3">
      <c r="A8" s="338" t="s">
        <v>10</v>
      </c>
      <c r="B8" s="338" t="s">
        <v>11</v>
      </c>
      <c r="C8" s="338" t="s">
        <v>12</v>
      </c>
      <c r="D8" s="338" t="s">
        <v>13</v>
      </c>
      <c r="E8" s="338" t="s">
        <v>14</v>
      </c>
      <c r="F8" s="338" t="s">
        <v>15</v>
      </c>
      <c r="G8" s="338" t="s">
        <v>16</v>
      </c>
      <c r="H8" s="338" t="s">
        <v>17</v>
      </c>
      <c r="I8" s="338"/>
      <c r="J8" s="339" t="s">
        <v>18</v>
      </c>
      <c r="K8" s="339"/>
      <c r="L8" s="338" t="s">
        <v>19</v>
      </c>
      <c r="M8" s="338" t="s">
        <v>20</v>
      </c>
      <c r="N8" s="339" t="s">
        <v>21</v>
      </c>
      <c r="O8" s="339" t="s">
        <v>22</v>
      </c>
      <c r="P8" s="339" t="s">
        <v>23</v>
      </c>
      <c r="Q8" s="339" t="s">
        <v>24</v>
      </c>
      <c r="R8" s="339"/>
      <c r="S8" s="339" t="s">
        <v>25</v>
      </c>
      <c r="T8" s="339"/>
      <c r="U8" s="338" t="s">
        <v>26</v>
      </c>
      <c r="V8" s="339" t="s">
        <v>23</v>
      </c>
      <c r="W8" s="337"/>
      <c r="X8" s="337"/>
    </row>
    <row r="9" spans="1:24" s="9" customFormat="1" ht="14" x14ac:dyDescent="0.3">
      <c r="A9" s="338"/>
      <c r="B9" s="338"/>
      <c r="C9" s="338"/>
      <c r="D9" s="338"/>
      <c r="E9" s="338"/>
      <c r="F9" s="338"/>
      <c r="G9" s="338"/>
      <c r="H9" s="10" t="s">
        <v>27</v>
      </c>
      <c r="I9" s="10" t="s">
        <v>28</v>
      </c>
      <c r="J9" s="10" t="s">
        <v>27</v>
      </c>
      <c r="K9" s="11" t="s">
        <v>29</v>
      </c>
      <c r="L9" s="338"/>
      <c r="M9" s="338"/>
      <c r="N9" s="339"/>
      <c r="O9" s="339"/>
      <c r="P9" s="339"/>
      <c r="Q9" s="10" t="s">
        <v>2</v>
      </c>
      <c r="R9" s="11" t="s">
        <v>30</v>
      </c>
      <c r="S9" s="10" t="s">
        <v>2</v>
      </c>
      <c r="T9" s="11" t="s">
        <v>30</v>
      </c>
      <c r="U9" s="338"/>
      <c r="V9" s="339"/>
      <c r="W9" s="337"/>
      <c r="X9" s="337"/>
    </row>
    <row r="10" spans="1:24" ht="25" x14ac:dyDescent="0.3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" x14ac:dyDescent="0.3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" x14ac:dyDescent="0.3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" x14ac:dyDescent="0.3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" x14ac:dyDescent="0.3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" x14ac:dyDescent="0.3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7.5" x14ac:dyDescent="0.3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7.5" x14ac:dyDescent="0.3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" x14ac:dyDescent="0.3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" x14ac:dyDescent="0.3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" x14ac:dyDescent="0.3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" x14ac:dyDescent="0.3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" x14ac:dyDescent="0.3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0" x14ac:dyDescent="0.3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7.5" x14ac:dyDescent="0.3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" x14ac:dyDescent="0.3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" x14ac:dyDescent="0.3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" x14ac:dyDescent="0.3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" x14ac:dyDescent="0.3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" x14ac:dyDescent="0.3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7.5" x14ac:dyDescent="0.3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" x14ac:dyDescent="0.3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" x14ac:dyDescent="0.3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X14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21.25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38"/>
      <c r="B4" s="338"/>
      <c r="C4" s="338"/>
      <c r="D4" s="338"/>
      <c r="E4" s="338"/>
      <c r="F4" s="338"/>
      <c r="G4" s="338"/>
      <c r="H4" s="10" t="s">
        <v>27</v>
      </c>
      <c r="I4" s="10" t="s">
        <v>28</v>
      </c>
      <c r="J4" s="10" t="s">
        <v>27</v>
      </c>
      <c r="K4" s="11" t="s">
        <v>29</v>
      </c>
      <c r="L4" s="338"/>
      <c r="M4" s="338"/>
      <c r="N4" s="339"/>
      <c r="O4" s="339"/>
      <c r="P4" s="339"/>
      <c r="Q4" s="10" t="s">
        <v>2</v>
      </c>
      <c r="R4" s="11" t="s">
        <v>30</v>
      </c>
      <c r="S4" s="10" t="s">
        <v>2</v>
      </c>
      <c r="T4" s="11" t="s">
        <v>30</v>
      </c>
      <c r="U4" s="338"/>
      <c r="V4" s="339"/>
      <c r="W4" s="337"/>
      <c r="X4" s="391"/>
    </row>
    <row r="5" spans="1:24" ht="14.5" x14ac:dyDescent="0.3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X14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21.25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38"/>
      <c r="B4" s="338"/>
      <c r="C4" s="338"/>
      <c r="D4" s="338"/>
      <c r="E4" s="338"/>
      <c r="F4" s="338"/>
      <c r="G4" s="338"/>
      <c r="H4" s="10" t="s">
        <v>27</v>
      </c>
      <c r="I4" s="10" t="s">
        <v>28</v>
      </c>
      <c r="J4" s="10" t="s">
        <v>27</v>
      </c>
      <c r="K4" s="11" t="s">
        <v>29</v>
      </c>
      <c r="L4" s="338"/>
      <c r="M4" s="338"/>
      <c r="N4" s="339"/>
      <c r="O4" s="339"/>
      <c r="P4" s="339"/>
      <c r="Q4" s="10" t="s">
        <v>2</v>
      </c>
      <c r="R4" s="11" t="s">
        <v>30</v>
      </c>
      <c r="S4" s="10" t="s">
        <v>2</v>
      </c>
      <c r="T4" s="11" t="s">
        <v>30</v>
      </c>
      <c r="U4" s="338"/>
      <c r="V4" s="339"/>
      <c r="W4" s="337"/>
      <c r="X4" s="391"/>
    </row>
    <row r="5" spans="1:24" ht="14.5" x14ac:dyDescent="0.3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X16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51.33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92"/>
      <c r="B4" s="392"/>
      <c r="C4" s="392"/>
      <c r="D4" s="392"/>
      <c r="E4" s="392"/>
      <c r="F4" s="392"/>
      <c r="G4" s="392"/>
      <c r="H4" s="10" t="s">
        <v>27</v>
      </c>
      <c r="I4" s="10" t="s">
        <v>28</v>
      </c>
      <c r="J4" s="10" t="s">
        <v>27</v>
      </c>
      <c r="K4" s="11" t="s">
        <v>29</v>
      </c>
      <c r="L4" s="392"/>
      <c r="M4" s="392"/>
      <c r="N4" s="393"/>
      <c r="O4" s="393"/>
      <c r="P4" s="393"/>
      <c r="Q4" s="10" t="s">
        <v>2</v>
      </c>
      <c r="R4" s="11" t="s">
        <v>30</v>
      </c>
      <c r="S4" s="10" t="s">
        <v>2</v>
      </c>
      <c r="T4" s="11" t="s">
        <v>30</v>
      </c>
      <c r="U4" s="392"/>
      <c r="V4" s="393"/>
      <c r="W4" s="394"/>
      <c r="X4" s="391"/>
    </row>
    <row r="5" spans="1:24" x14ac:dyDescent="0.3">
      <c r="A5" s="44"/>
      <c r="B5" s="44"/>
      <c r="C5" s="44"/>
      <c r="D5" s="56"/>
      <c r="E5" s="66"/>
      <c r="F5" s="53"/>
      <c r="G5" s="53"/>
      <c r="H5" s="53"/>
      <c r="I5" s="44"/>
      <c r="J5" s="53"/>
      <c r="K5" s="44"/>
      <c r="L5" s="69"/>
      <c r="M5" s="69"/>
      <c r="N5" s="70"/>
      <c r="O5" s="70"/>
      <c r="P5" s="70">
        <f>SUM(N5:O5)</f>
        <v>0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0</v>
      </c>
      <c r="W5" s="70">
        <f>V5</f>
        <v>0</v>
      </c>
      <c r="X5" s="53"/>
    </row>
    <row r="6" spans="1:24" x14ac:dyDescent="0.3">
      <c r="A6" s="44"/>
      <c r="B6" s="44"/>
      <c r="C6" s="44"/>
      <c r="D6" s="56"/>
      <c r="E6" s="66"/>
      <c r="F6" s="53"/>
      <c r="G6" s="53"/>
      <c r="H6" s="53"/>
      <c r="I6" s="44"/>
      <c r="J6" s="53"/>
      <c r="K6" s="53"/>
      <c r="L6" s="69"/>
      <c r="M6" s="69"/>
      <c r="N6" s="70"/>
      <c r="O6" s="70"/>
      <c r="P6" s="70">
        <f t="shared" ref="P6:P7" si="0"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0</v>
      </c>
      <c r="W6" s="70">
        <f t="shared" ref="W6:W7" si="3">V6</f>
        <v>0</v>
      </c>
      <c r="X6" s="53"/>
    </row>
    <row r="7" spans="1:24" x14ac:dyDescent="0.3">
      <c r="A7" s="44"/>
      <c r="B7" s="44"/>
      <c r="C7" s="44"/>
      <c r="D7" s="56"/>
      <c r="E7" s="66"/>
      <c r="F7" s="53"/>
      <c r="G7" s="53"/>
      <c r="H7" s="53"/>
      <c r="I7" s="44"/>
      <c r="J7" s="53"/>
      <c r="K7" s="53"/>
      <c r="L7" s="69"/>
      <c r="M7" s="69"/>
      <c r="N7" s="70"/>
      <c r="O7" s="70"/>
      <c r="P7" s="70">
        <f t="shared" si="0"/>
        <v>0</v>
      </c>
      <c r="Q7" s="53">
        <v>0</v>
      </c>
      <c r="R7" s="70">
        <v>0</v>
      </c>
      <c r="S7" s="53">
        <v>0</v>
      </c>
      <c r="T7" s="70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53" t="s">
        <v>74</v>
      </c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  <row r="16" spans="1:24" x14ac:dyDescent="0.3">
      <c r="Q16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X15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55.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92"/>
      <c r="B4" s="392"/>
      <c r="C4" s="392"/>
      <c r="D4" s="392"/>
      <c r="E4" s="392"/>
      <c r="F4" s="392"/>
      <c r="G4" s="392"/>
      <c r="H4" s="10" t="s">
        <v>27</v>
      </c>
      <c r="I4" s="10" t="s">
        <v>28</v>
      </c>
      <c r="J4" s="10" t="s">
        <v>27</v>
      </c>
      <c r="K4" s="11" t="s">
        <v>29</v>
      </c>
      <c r="L4" s="392"/>
      <c r="M4" s="392"/>
      <c r="N4" s="393"/>
      <c r="O4" s="393"/>
      <c r="P4" s="393"/>
      <c r="Q4" s="10" t="s">
        <v>2</v>
      </c>
      <c r="R4" s="11" t="s">
        <v>30</v>
      </c>
      <c r="S4" s="10" t="s">
        <v>2</v>
      </c>
      <c r="T4" s="11" t="s">
        <v>30</v>
      </c>
      <c r="U4" s="392"/>
      <c r="V4" s="393"/>
      <c r="W4" s="394"/>
      <c r="X4" s="391"/>
    </row>
    <row r="5" spans="1:24" ht="14.5" x14ac:dyDescent="0.3">
      <c r="A5" s="76" t="s">
        <v>250</v>
      </c>
      <c r="B5" s="76" t="s">
        <v>234</v>
      </c>
      <c r="C5" s="76" t="s">
        <v>576</v>
      </c>
      <c r="D5" s="76">
        <v>285</v>
      </c>
      <c r="E5" s="96" t="s">
        <v>579</v>
      </c>
      <c r="F5" s="76" t="s">
        <v>578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44304</v>
      </c>
      <c r="M5" s="69">
        <v>44309</v>
      </c>
      <c r="N5" s="70">
        <f>1104.13/2</f>
        <v>552.06500000000005</v>
      </c>
      <c r="O5" s="70">
        <f>1104.13/2</f>
        <v>552.06500000000005</v>
      </c>
      <c r="P5" s="70">
        <f>SUM(N5:O5)</f>
        <v>1104.1300000000001</v>
      </c>
      <c r="Q5" s="53">
        <v>6</v>
      </c>
      <c r="R5" s="70">
        <v>120</v>
      </c>
      <c r="S5" s="53">
        <v>0</v>
      </c>
      <c r="T5" s="70">
        <v>0</v>
      </c>
      <c r="U5" s="70">
        <f>(Q5*R5)+(S5*T5)</f>
        <v>720</v>
      </c>
      <c r="V5" s="70">
        <f>U5+P5</f>
        <v>1824.13</v>
      </c>
      <c r="W5" s="70">
        <f>V5</f>
        <v>1824.13</v>
      </c>
      <c r="X5" s="53"/>
    </row>
    <row r="6" spans="1:24" ht="14.5" x14ac:dyDescent="0.3">
      <c r="A6" s="76" t="s">
        <v>250</v>
      </c>
      <c r="B6" s="76" t="s">
        <v>234</v>
      </c>
      <c r="C6" s="76" t="s">
        <v>577</v>
      </c>
      <c r="D6" s="76">
        <v>218</v>
      </c>
      <c r="E6" s="96" t="s">
        <v>580</v>
      </c>
      <c r="F6" s="76" t="s">
        <v>578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44304</v>
      </c>
      <c r="M6" s="69">
        <v>44309</v>
      </c>
      <c r="N6" s="70">
        <f>1104.13/2</f>
        <v>552.06500000000005</v>
      </c>
      <c r="O6" s="70">
        <f>1104.13/2</f>
        <v>552.06500000000005</v>
      </c>
      <c r="P6" s="70">
        <f t="shared" ref="P6:P7" si="0">SUM(N6:O6)</f>
        <v>1104.1300000000001</v>
      </c>
      <c r="Q6" s="53">
        <v>6</v>
      </c>
      <c r="R6" s="70">
        <v>120</v>
      </c>
      <c r="S6" s="53">
        <v>0</v>
      </c>
      <c r="T6" s="70">
        <v>0</v>
      </c>
      <c r="U6" s="70">
        <f t="shared" ref="U6:U7" si="1">(Q6*R6)+(S6*T6)</f>
        <v>720</v>
      </c>
      <c r="V6" s="70">
        <f t="shared" ref="V6:V7" si="2">U6+P6</f>
        <v>1824.13</v>
      </c>
      <c r="W6" s="70">
        <f t="shared" ref="W6:W7" si="3">V6</f>
        <v>1824.13</v>
      </c>
      <c r="X6" s="53"/>
    </row>
    <row r="7" spans="1:24" ht="14.5" x14ac:dyDescent="0.3">
      <c r="A7" s="399" t="s">
        <v>250</v>
      </c>
      <c r="B7" s="399" t="s">
        <v>258</v>
      </c>
      <c r="C7" s="399" t="s">
        <v>183</v>
      </c>
      <c r="D7" s="399">
        <v>119</v>
      </c>
      <c r="E7" s="402" t="s">
        <v>591</v>
      </c>
      <c r="F7" s="399" t="s">
        <v>589</v>
      </c>
      <c r="G7" s="76" t="s">
        <v>31</v>
      </c>
      <c r="H7" s="76" t="s">
        <v>32</v>
      </c>
      <c r="I7" s="76" t="s">
        <v>33</v>
      </c>
      <c r="J7" s="76" t="s">
        <v>32</v>
      </c>
      <c r="K7" s="98" t="s">
        <v>588</v>
      </c>
      <c r="L7" s="69">
        <v>44312</v>
      </c>
      <c r="M7" s="69">
        <v>44313</v>
      </c>
      <c r="N7" s="403">
        <v>0</v>
      </c>
      <c r="O7" s="403">
        <v>0</v>
      </c>
      <c r="P7" s="395">
        <f t="shared" si="0"/>
        <v>0</v>
      </c>
      <c r="Q7" s="397">
        <v>5</v>
      </c>
      <c r="R7" s="404">
        <v>120</v>
      </c>
      <c r="S7" s="397">
        <v>0</v>
      </c>
      <c r="T7" s="404">
        <v>0</v>
      </c>
      <c r="U7" s="395">
        <f t="shared" si="1"/>
        <v>600</v>
      </c>
      <c r="V7" s="395">
        <f t="shared" si="2"/>
        <v>600</v>
      </c>
      <c r="W7" s="395">
        <f t="shared" si="3"/>
        <v>600</v>
      </c>
      <c r="X7" s="397"/>
    </row>
    <row r="8" spans="1:24" ht="14.5" x14ac:dyDescent="0.3">
      <c r="A8" s="400"/>
      <c r="B8" s="400"/>
      <c r="C8" s="400"/>
      <c r="D8" s="400"/>
      <c r="E8" s="402"/>
      <c r="F8" s="400"/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69">
        <v>44313</v>
      </c>
      <c r="M8" s="69">
        <v>44316</v>
      </c>
      <c r="N8" s="403"/>
      <c r="O8" s="403"/>
      <c r="P8" s="396"/>
      <c r="Q8" s="398"/>
      <c r="R8" s="405"/>
      <c r="S8" s="398"/>
      <c r="T8" s="405"/>
      <c r="U8" s="396"/>
      <c r="V8" s="396"/>
      <c r="W8" s="396"/>
      <c r="X8" s="398"/>
    </row>
    <row r="9" spans="1:24" ht="14.5" x14ac:dyDescent="0.3">
      <c r="A9" s="399" t="s">
        <v>250</v>
      </c>
      <c r="B9" s="399" t="s">
        <v>212</v>
      </c>
      <c r="C9" s="401" t="s">
        <v>270</v>
      </c>
      <c r="D9" s="399">
        <v>158</v>
      </c>
      <c r="E9" s="402" t="s">
        <v>592</v>
      </c>
      <c r="F9" s="401" t="s">
        <v>590</v>
      </c>
      <c r="G9" s="76" t="s">
        <v>31</v>
      </c>
      <c r="H9" s="76" t="s">
        <v>32</v>
      </c>
      <c r="I9" s="76" t="s">
        <v>33</v>
      </c>
      <c r="J9" s="76" t="s">
        <v>32</v>
      </c>
      <c r="K9" s="98" t="s">
        <v>588</v>
      </c>
      <c r="L9" s="69">
        <v>44312</v>
      </c>
      <c r="M9" s="69">
        <v>44313</v>
      </c>
      <c r="N9" s="403">
        <v>0</v>
      </c>
      <c r="O9" s="403">
        <v>0</v>
      </c>
      <c r="P9" s="395">
        <f t="shared" ref="P9" si="4">SUM(N9:O9)</f>
        <v>0</v>
      </c>
      <c r="Q9" s="397">
        <v>5</v>
      </c>
      <c r="R9" s="404">
        <v>120</v>
      </c>
      <c r="S9" s="397">
        <v>0</v>
      </c>
      <c r="T9" s="404">
        <v>0</v>
      </c>
      <c r="U9" s="395">
        <f t="shared" ref="U9" si="5">(Q9*R9)+(S9*T9)</f>
        <v>600</v>
      </c>
      <c r="V9" s="395">
        <f t="shared" ref="V9" si="6">U9+P9</f>
        <v>600</v>
      </c>
      <c r="W9" s="395">
        <f t="shared" ref="W9" si="7">V9</f>
        <v>600</v>
      </c>
      <c r="X9" s="397"/>
    </row>
    <row r="10" spans="1:24" ht="14.5" x14ac:dyDescent="0.3">
      <c r="A10" s="400"/>
      <c r="B10" s="400"/>
      <c r="C10" s="400"/>
      <c r="D10" s="400"/>
      <c r="E10" s="402"/>
      <c r="F10" s="400"/>
      <c r="G10" s="76" t="s">
        <v>31</v>
      </c>
      <c r="H10" s="76" t="s">
        <v>32</v>
      </c>
      <c r="I10" s="76" t="s">
        <v>33</v>
      </c>
      <c r="J10" s="76" t="s">
        <v>32</v>
      </c>
      <c r="K10" s="76" t="s">
        <v>390</v>
      </c>
      <c r="L10" s="69">
        <v>44313</v>
      </c>
      <c r="M10" s="69">
        <v>44316</v>
      </c>
      <c r="N10" s="403"/>
      <c r="O10" s="403"/>
      <c r="P10" s="396"/>
      <c r="Q10" s="398"/>
      <c r="R10" s="405"/>
      <c r="S10" s="398"/>
      <c r="T10" s="405"/>
      <c r="U10" s="396"/>
      <c r="V10" s="396"/>
      <c r="W10" s="396"/>
      <c r="X10" s="398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</sheetData>
  <mergeCells count="60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7:A8"/>
    <mergeCell ref="B7:B8"/>
    <mergeCell ref="C7:C8"/>
    <mergeCell ref="D7:D8"/>
    <mergeCell ref="E7:E8"/>
    <mergeCell ref="W7:W8"/>
    <mergeCell ref="N7:N8"/>
    <mergeCell ref="O7:O8"/>
    <mergeCell ref="P7:P8"/>
    <mergeCell ref="Q7:Q8"/>
    <mergeCell ref="R7:R8"/>
    <mergeCell ref="U9:U10"/>
    <mergeCell ref="V9:V10"/>
    <mergeCell ref="S7:S8"/>
    <mergeCell ref="T7:T8"/>
    <mergeCell ref="U7:U8"/>
    <mergeCell ref="V7:V8"/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X15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63.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92"/>
      <c r="B4" s="392"/>
      <c r="C4" s="392"/>
      <c r="D4" s="392"/>
      <c r="E4" s="392"/>
      <c r="F4" s="392"/>
      <c r="G4" s="392"/>
      <c r="H4" s="10" t="s">
        <v>27</v>
      </c>
      <c r="I4" s="10" t="s">
        <v>28</v>
      </c>
      <c r="J4" s="10" t="s">
        <v>27</v>
      </c>
      <c r="K4" s="11" t="s">
        <v>29</v>
      </c>
      <c r="L4" s="392"/>
      <c r="M4" s="392"/>
      <c r="N4" s="393"/>
      <c r="O4" s="393"/>
      <c r="P4" s="393"/>
      <c r="Q4" s="10" t="s">
        <v>2</v>
      </c>
      <c r="R4" s="11" t="s">
        <v>30</v>
      </c>
      <c r="S4" s="10" t="s">
        <v>2</v>
      </c>
      <c r="T4" s="11" t="s">
        <v>30</v>
      </c>
      <c r="U4" s="392"/>
      <c r="V4" s="393"/>
      <c r="W4" s="394"/>
      <c r="X4" s="391"/>
    </row>
    <row r="5" spans="1:24" ht="14.5" x14ac:dyDescent="0.3">
      <c r="A5" s="91" t="s">
        <v>232</v>
      </c>
      <c r="B5" s="76" t="s">
        <v>227</v>
      </c>
      <c r="C5" s="76" t="s">
        <v>581</v>
      </c>
      <c r="D5" s="76">
        <v>357</v>
      </c>
      <c r="E5" s="97" t="s">
        <v>587</v>
      </c>
      <c r="F5" s="97" t="s">
        <v>583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44342</v>
      </c>
      <c r="M5" s="69">
        <v>44344</v>
      </c>
      <c r="N5" s="70">
        <f>1326.66/2</f>
        <v>663.33</v>
      </c>
      <c r="O5" s="70">
        <f>1326.66/2</f>
        <v>663.33</v>
      </c>
      <c r="P5" s="70">
        <f>SUM(N5:O5)</f>
        <v>1326.66</v>
      </c>
      <c r="Q5" s="53">
        <v>3</v>
      </c>
      <c r="R5" s="70">
        <v>120</v>
      </c>
      <c r="S5" s="53">
        <v>0</v>
      </c>
      <c r="T5" s="70">
        <v>0</v>
      </c>
      <c r="U5" s="70">
        <f>(Q5*R5)+(S5*T5)</f>
        <v>360</v>
      </c>
      <c r="V5" s="70">
        <f>U5+P5</f>
        <v>1686.66</v>
      </c>
      <c r="W5" s="70">
        <f>V5</f>
        <v>1686.66</v>
      </c>
      <c r="X5" s="53"/>
    </row>
    <row r="6" spans="1:24" ht="14.5" x14ac:dyDescent="0.3">
      <c r="A6" s="91" t="s">
        <v>232</v>
      </c>
      <c r="B6" s="76" t="s">
        <v>227</v>
      </c>
      <c r="C6" s="76" t="s">
        <v>70</v>
      </c>
      <c r="D6" s="76">
        <v>303</v>
      </c>
      <c r="E6" s="97" t="s">
        <v>586</v>
      </c>
      <c r="F6" s="97" t="s">
        <v>583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44342</v>
      </c>
      <c r="M6" s="69">
        <v>44344</v>
      </c>
      <c r="N6" s="70">
        <f t="shared" ref="N6:O7" si="0">1326.66/2</f>
        <v>663.33</v>
      </c>
      <c r="O6" s="70">
        <f t="shared" si="0"/>
        <v>663.33</v>
      </c>
      <c r="P6" s="70">
        <f t="shared" ref="P6" si="1">SUM(N6:O6)</f>
        <v>1326.66</v>
      </c>
      <c r="Q6" s="53">
        <v>3</v>
      </c>
      <c r="R6" s="70">
        <v>120</v>
      </c>
      <c r="S6" s="53">
        <v>0</v>
      </c>
      <c r="T6" s="70">
        <v>0</v>
      </c>
      <c r="U6" s="70">
        <f t="shared" ref="U6" si="2">(Q6*R6)+(S6*T6)</f>
        <v>360</v>
      </c>
      <c r="V6" s="70">
        <f t="shared" ref="V6" si="3">U6+P6</f>
        <v>1686.66</v>
      </c>
      <c r="W6" s="70">
        <f t="shared" ref="W6" si="4">V6</f>
        <v>1686.66</v>
      </c>
      <c r="X6" s="53"/>
    </row>
    <row r="7" spans="1:24" ht="14.5" x14ac:dyDescent="0.3">
      <c r="A7" s="91" t="s">
        <v>232</v>
      </c>
      <c r="B7" s="76" t="s">
        <v>227</v>
      </c>
      <c r="C7" s="76" t="s">
        <v>582</v>
      </c>
      <c r="D7" s="76">
        <v>72</v>
      </c>
      <c r="E7" s="97" t="s">
        <v>585</v>
      </c>
      <c r="F7" s="97" t="s">
        <v>583</v>
      </c>
      <c r="G7" s="76" t="s">
        <v>31</v>
      </c>
      <c r="H7" s="76" t="s">
        <v>32</v>
      </c>
      <c r="I7" s="76" t="s">
        <v>33</v>
      </c>
      <c r="J7" s="76" t="s">
        <v>32</v>
      </c>
      <c r="K7" s="76" t="s">
        <v>390</v>
      </c>
      <c r="L7" s="69">
        <v>44342</v>
      </c>
      <c r="M7" s="69">
        <v>44344</v>
      </c>
      <c r="N7" s="70">
        <f t="shared" si="0"/>
        <v>663.33</v>
      </c>
      <c r="O7" s="70">
        <f t="shared" si="0"/>
        <v>663.33</v>
      </c>
      <c r="P7" s="70">
        <f t="shared" ref="P7" si="5">SUM(N7:O7)</f>
        <v>1326.66</v>
      </c>
      <c r="Q7" s="53">
        <v>3</v>
      </c>
      <c r="R7" s="70">
        <v>120</v>
      </c>
      <c r="S7" s="53">
        <v>0</v>
      </c>
      <c r="T7" s="70">
        <v>0</v>
      </c>
      <c r="U7" s="70">
        <f t="shared" ref="U7" si="6">(Q7*R7)+(S7*T7)</f>
        <v>360</v>
      </c>
      <c r="V7" s="70">
        <f t="shared" ref="V7" si="7">U7+P7</f>
        <v>1686.66</v>
      </c>
      <c r="W7" s="70">
        <f t="shared" ref="W7" si="8">V7</f>
        <v>1686.66</v>
      </c>
      <c r="X7" s="53"/>
    </row>
    <row r="8" spans="1:24" ht="14.5" x14ac:dyDescent="0.3">
      <c r="A8" s="91" t="s">
        <v>233</v>
      </c>
      <c r="B8" s="76" t="s">
        <v>258</v>
      </c>
      <c r="C8" s="76" t="s">
        <v>319</v>
      </c>
      <c r="D8" s="76">
        <v>346</v>
      </c>
      <c r="E8" s="97" t="s">
        <v>55</v>
      </c>
      <c r="F8" s="76" t="s">
        <v>584</v>
      </c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69">
        <v>44343</v>
      </c>
      <c r="M8" s="69">
        <v>44344</v>
      </c>
      <c r="N8" s="70">
        <f>2134.26/2</f>
        <v>1067.1300000000001</v>
      </c>
      <c r="O8" s="70">
        <f>2134.26/2</f>
        <v>1067.1300000000001</v>
      </c>
      <c r="P8" s="70">
        <f t="shared" ref="P8" si="9">SUM(N8:O8)</f>
        <v>2134.2600000000002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10">(Q8*R8)+(S8*T8)</f>
        <v>240</v>
      </c>
      <c r="V8" s="70">
        <f t="shared" ref="V8" si="11">U8+P8</f>
        <v>2374.2600000000002</v>
      </c>
      <c r="W8" s="70">
        <f t="shared" ref="W8" si="12">V8</f>
        <v>2374.2600000000002</v>
      </c>
      <c r="X8" s="5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X14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63.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92"/>
      <c r="B4" s="392"/>
      <c r="C4" s="392"/>
      <c r="D4" s="392"/>
      <c r="E4" s="392"/>
      <c r="F4" s="392"/>
      <c r="G4" s="392"/>
      <c r="H4" s="10" t="s">
        <v>27</v>
      </c>
      <c r="I4" s="10" t="s">
        <v>28</v>
      </c>
      <c r="J4" s="10" t="s">
        <v>27</v>
      </c>
      <c r="K4" s="11" t="s">
        <v>29</v>
      </c>
      <c r="L4" s="392"/>
      <c r="M4" s="392"/>
      <c r="N4" s="393"/>
      <c r="O4" s="393"/>
      <c r="P4" s="393"/>
      <c r="Q4" s="10" t="s">
        <v>2</v>
      </c>
      <c r="R4" s="11" t="s">
        <v>30</v>
      </c>
      <c r="S4" s="10" t="s">
        <v>2</v>
      </c>
      <c r="T4" s="11" t="s">
        <v>30</v>
      </c>
      <c r="U4" s="392"/>
      <c r="V4" s="393"/>
      <c r="W4" s="394"/>
      <c r="X4" s="391"/>
    </row>
    <row r="5" spans="1:24" ht="14.5" x14ac:dyDescent="0.3">
      <c r="A5" s="91" t="s">
        <v>233</v>
      </c>
      <c r="B5" s="99" t="s">
        <v>212</v>
      </c>
      <c r="C5" s="76" t="s">
        <v>270</v>
      </c>
      <c r="D5" s="76">
        <v>158</v>
      </c>
      <c r="E5" s="99" t="s">
        <v>594</v>
      </c>
      <c r="F5" s="99" t="s">
        <v>593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44356</v>
      </c>
      <c r="M5" s="69">
        <v>44357</v>
      </c>
      <c r="N5" s="70">
        <f>1279.28/2</f>
        <v>639.64</v>
      </c>
      <c r="O5" s="70">
        <f>1101.62/2</f>
        <v>550.80999999999995</v>
      </c>
      <c r="P5" s="70">
        <f t="shared" ref="P5" si="0">SUM(N5:O5)</f>
        <v>1190.4499999999998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7" si="1">(Q5*R5)+(S5*T5)</f>
        <v>240</v>
      </c>
      <c r="V5" s="70">
        <f t="shared" ref="V5:V7" si="2">U5+P5</f>
        <v>1430.4499999999998</v>
      </c>
      <c r="W5" s="70">
        <f t="shared" ref="W5:W7" si="3">V5</f>
        <v>1430.4499999999998</v>
      </c>
      <c r="X5" s="53"/>
    </row>
    <row r="6" spans="1:24" ht="14.5" x14ac:dyDescent="0.3">
      <c r="A6" s="91" t="s">
        <v>233</v>
      </c>
      <c r="B6" s="99" t="s">
        <v>212</v>
      </c>
      <c r="C6" s="76" t="s">
        <v>378</v>
      </c>
      <c r="D6" s="76">
        <v>347</v>
      </c>
      <c r="E6" s="99" t="s">
        <v>52</v>
      </c>
      <c r="F6" s="99" t="s">
        <v>593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44363</v>
      </c>
      <c r="M6" s="69">
        <v>44364</v>
      </c>
      <c r="N6" s="70">
        <f>1101.62/2</f>
        <v>550.80999999999995</v>
      </c>
      <c r="O6" s="70">
        <f>1101.62/2</f>
        <v>550.80999999999995</v>
      </c>
      <c r="P6" s="70">
        <f t="shared" ref="P6:P7" si="4">SUM(N6:O6)</f>
        <v>1101.6199999999999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1341.62</v>
      </c>
      <c r="W6" s="70">
        <f t="shared" si="3"/>
        <v>1341.62</v>
      </c>
      <c r="X6" s="53"/>
    </row>
    <row r="7" spans="1:24" ht="14.5" x14ac:dyDescent="0.3">
      <c r="A7" s="91" t="s">
        <v>233</v>
      </c>
      <c r="B7" s="99" t="s">
        <v>212</v>
      </c>
      <c r="C7" s="76" t="s">
        <v>378</v>
      </c>
      <c r="D7" s="76">
        <v>347</v>
      </c>
      <c r="E7" s="99" t="s">
        <v>52</v>
      </c>
      <c r="F7" s="99" t="s">
        <v>593</v>
      </c>
      <c r="G7" s="76" t="s">
        <v>31</v>
      </c>
      <c r="H7" s="76" t="s">
        <v>32</v>
      </c>
      <c r="I7" s="76" t="s">
        <v>33</v>
      </c>
      <c r="J7" s="76" t="s">
        <v>32</v>
      </c>
      <c r="K7" s="76" t="s">
        <v>390</v>
      </c>
      <c r="L7" s="69">
        <v>44377</v>
      </c>
      <c r="M7" s="69">
        <v>44378</v>
      </c>
      <c r="N7" s="70">
        <f>1443.73/2</f>
        <v>721.86500000000001</v>
      </c>
      <c r="O7" s="70">
        <f>1443.73/2</f>
        <v>721.86500000000001</v>
      </c>
      <c r="P7" s="70">
        <f t="shared" si="4"/>
        <v>1443.73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1683.73</v>
      </c>
      <c r="W7" s="70">
        <f t="shared" si="3"/>
        <v>1683.73</v>
      </c>
      <c r="X7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X13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63.25" bestFit="1" customWidth="1"/>
    <col min="10" max="10" width="3.33203125" bestFit="1" customWidth="1"/>
    <col min="11" max="11" width="13.08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92"/>
      <c r="B4" s="392"/>
      <c r="C4" s="392"/>
      <c r="D4" s="392"/>
      <c r="E4" s="392"/>
      <c r="F4" s="392"/>
      <c r="G4" s="392"/>
      <c r="H4" s="10" t="s">
        <v>27</v>
      </c>
      <c r="I4" s="10" t="s">
        <v>28</v>
      </c>
      <c r="J4" s="10" t="s">
        <v>27</v>
      </c>
      <c r="K4" s="11" t="s">
        <v>29</v>
      </c>
      <c r="L4" s="392"/>
      <c r="M4" s="392"/>
      <c r="N4" s="393"/>
      <c r="O4" s="393"/>
      <c r="P4" s="393"/>
      <c r="Q4" s="10" t="s">
        <v>2</v>
      </c>
      <c r="R4" s="11" t="s">
        <v>30</v>
      </c>
      <c r="S4" s="10" t="s">
        <v>2</v>
      </c>
      <c r="T4" s="11" t="s">
        <v>30</v>
      </c>
      <c r="U4" s="392"/>
      <c r="V4" s="393"/>
      <c r="W4" s="394"/>
      <c r="X4" s="391"/>
    </row>
    <row r="5" spans="1:24" ht="14.5" x14ac:dyDescent="0.3">
      <c r="A5" s="100" t="s">
        <v>597</v>
      </c>
      <c r="B5" s="100" t="s">
        <v>597</v>
      </c>
      <c r="C5" s="76" t="s">
        <v>412</v>
      </c>
      <c r="D5" s="29"/>
      <c r="E5" s="20" t="s">
        <v>561</v>
      </c>
      <c r="F5" s="99" t="s">
        <v>596</v>
      </c>
      <c r="G5" s="76" t="s">
        <v>31</v>
      </c>
      <c r="H5" s="76" t="s">
        <v>32</v>
      </c>
      <c r="I5" s="76" t="s">
        <v>33</v>
      </c>
      <c r="J5" s="100" t="s">
        <v>38</v>
      </c>
      <c r="K5" s="100" t="s">
        <v>39</v>
      </c>
      <c r="L5" s="69">
        <v>44391</v>
      </c>
      <c r="M5" s="69">
        <v>44395</v>
      </c>
      <c r="N5" s="70">
        <f>2524.67/2</f>
        <v>1262.335</v>
      </c>
      <c r="O5" s="70">
        <f>2524.67/2</f>
        <v>1262.335</v>
      </c>
      <c r="P5" s="70">
        <f t="shared" ref="P5:P7" si="0">SUM(N5:O5)</f>
        <v>2524.67</v>
      </c>
      <c r="Q5" s="53">
        <v>0</v>
      </c>
      <c r="R5" s="70">
        <v>0</v>
      </c>
      <c r="S5" s="53">
        <v>0</v>
      </c>
      <c r="T5" s="70">
        <v>0</v>
      </c>
      <c r="U5" s="70">
        <f t="shared" ref="U5:U7" si="1">(Q5*R5)+(S5*T5)</f>
        <v>0</v>
      </c>
      <c r="V5" s="70">
        <f t="shared" ref="V5:V7" si="2">U5+P5</f>
        <v>2524.67</v>
      </c>
      <c r="W5" s="70">
        <f t="shared" ref="W5:W7" si="3">V5</f>
        <v>2524.67</v>
      </c>
      <c r="X5" s="53"/>
    </row>
    <row r="6" spans="1:24" ht="14.5" x14ac:dyDescent="0.3">
      <c r="A6" s="76" t="s">
        <v>250</v>
      </c>
      <c r="B6" s="76" t="s">
        <v>250</v>
      </c>
      <c r="C6" s="76" t="s">
        <v>478</v>
      </c>
      <c r="D6" s="87"/>
      <c r="E6" s="88" t="s">
        <v>55</v>
      </c>
      <c r="F6" s="99" t="s">
        <v>598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44391</v>
      </c>
      <c r="M6" s="69">
        <v>44392</v>
      </c>
      <c r="N6" s="70">
        <f>902.91/2</f>
        <v>451.45499999999998</v>
      </c>
      <c r="O6" s="70">
        <f>902.91/2</f>
        <v>451.45499999999998</v>
      </c>
      <c r="P6" s="70">
        <f t="shared" si="0"/>
        <v>902.91</v>
      </c>
      <c r="Q6" s="53">
        <v>0</v>
      </c>
      <c r="R6" s="70">
        <v>0</v>
      </c>
      <c r="S6" s="53">
        <v>0</v>
      </c>
      <c r="T6" s="70">
        <v>0</v>
      </c>
      <c r="U6" s="70">
        <f t="shared" si="1"/>
        <v>0</v>
      </c>
      <c r="V6" s="70">
        <f t="shared" si="2"/>
        <v>902.91</v>
      </c>
      <c r="W6" s="70">
        <f t="shared" si="3"/>
        <v>902.91</v>
      </c>
      <c r="X6" s="53"/>
    </row>
    <row r="7" spans="1:24" ht="14.5" x14ac:dyDescent="0.3">
      <c r="A7" s="76" t="s">
        <v>250</v>
      </c>
      <c r="B7" s="76" t="s">
        <v>212</v>
      </c>
      <c r="C7" s="76" t="s">
        <v>378</v>
      </c>
      <c r="D7" s="76">
        <v>347</v>
      </c>
      <c r="E7" s="99" t="s">
        <v>52</v>
      </c>
      <c r="F7" s="99" t="s">
        <v>598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44391</v>
      </c>
      <c r="M7" s="69">
        <v>44392</v>
      </c>
      <c r="N7" s="70">
        <f>902.91/2</f>
        <v>451.45499999999998</v>
      </c>
      <c r="O7" s="70">
        <f>902.91/2</f>
        <v>451.45499999999998</v>
      </c>
      <c r="P7" s="70">
        <f t="shared" si="0"/>
        <v>902.91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1142.9099999999999</v>
      </c>
      <c r="W7" s="70">
        <f t="shared" si="3"/>
        <v>1142.9099999999999</v>
      </c>
      <c r="X7" s="53"/>
    </row>
    <row r="8" spans="1:24" ht="14.5" x14ac:dyDescent="0.3">
      <c r="A8" s="76" t="s">
        <v>250</v>
      </c>
      <c r="B8" s="76" t="s">
        <v>212</v>
      </c>
      <c r="C8" s="76" t="s">
        <v>270</v>
      </c>
      <c r="D8" s="76">
        <v>158</v>
      </c>
      <c r="E8" s="99" t="s">
        <v>599</v>
      </c>
      <c r="F8" s="99" t="s">
        <v>598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44398</v>
      </c>
      <c r="M8" s="69">
        <v>44399</v>
      </c>
      <c r="N8" s="70">
        <f>1854.27/2</f>
        <v>927.13499999999999</v>
      </c>
      <c r="O8" s="70">
        <f>1854.27/2</f>
        <v>927.13499999999999</v>
      </c>
      <c r="P8" s="70">
        <f t="shared" ref="P8" si="4">SUM(N8:O8)</f>
        <v>1854.27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5">(Q8*R8)+(S8*T8)</f>
        <v>240</v>
      </c>
      <c r="V8" s="70">
        <f t="shared" ref="V8" si="6">U8+P8</f>
        <v>2094.27</v>
      </c>
      <c r="W8" s="70">
        <f t="shared" ref="W8" si="7">V8</f>
        <v>2094.27</v>
      </c>
      <c r="X8" s="53"/>
    </row>
    <row r="10" spans="1:24" x14ac:dyDescent="0.3">
      <c r="Q10" s="9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X13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63.25" bestFit="1" customWidth="1"/>
    <col min="10" max="10" width="3.33203125" bestFit="1" customWidth="1"/>
    <col min="11" max="11" width="13.08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92"/>
      <c r="B4" s="392"/>
      <c r="C4" s="392"/>
      <c r="D4" s="392"/>
      <c r="E4" s="392"/>
      <c r="F4" s="392"/>
      <c r="G4" s="392"/>
      <c r="H4" s="10" t="s">
        <v>27</v>
      </c>
      <c r="I4" s="10" t="s">
        <v>28</v>
      </c>
      <c r="J4" s="10" t="s">
        <v>27</v>
      </c>
      <c r="K4" s="11" t="s">
        <v>29</v>
      </c>
      <c r="L4" s="392"/>
      <c r="M4" s="392"/>
      <c r="N4" s="393"/>
      <c r="O4" s="393"/>
      <c r="P4" s="393"/>
      <c r="Q4" s="10" t="s">
        <v>2</v>
      </c>
      <c r="R4" s="11" t="s">
        <v>30</v>
      </c>
      <c r="S4" s="10" t="s">
        <v>2</v>
      </c>
      <c r="T4" s="11" t="s">
        <v>30</v>
      </c>
      <c r="U4" s="392"/>
      <c r="V4" s="393"/>
      <c r="W4" s="394"/>
      <c r="X4" s="391"/>
    </row>
    <row r="5" spans="1:24" ht="14.5" x14ac:dyDescent="0.3">
      <c r="A5" s="76" t="s">
        <v>250</v>
      </c>
      <c r="B5" s="76" t="s">
        <v>212</v>
      </c>
      <c r="C5" s="76" t="s">
        <v>270</v>
      </c>
      <c r="D5" s="29" t="s">
        <v>173</v>
      </c>
      <c r="E5" s="99" t="s">
        <v>599</v>
      </c>
      <c r="F5" s="101" t="s">
        <v>593</v>
      </c>
      <c r="G5" s="76" t="s">
        <v>31</v>
      </c>
      <c r="H5" s="76" t="s">
        <v>32</v>
      </c>
      <c r="I5" s="76" t="s">
        <v>33</v>
      </c>
      <c r="J5" s="100" t="s">
        <v>38</v>
      </c>
      <c r="K5" s="100" t="s">
        <v>390</v>
      </c>
      <c r="L5" s="69">
        <v>44412</v>
      </c>
      <c r="M5" s="69">
        <v>44413</v>
      </c>
      <c r="N5" s="70">
        <f>833.12/2</f>
        <v>416.56</v>
      </c>
      <c r="O5" s="70">
        <f>833.12/2</f>
        <v>416.56</v>
      </c>
      <c r="P5" s="70">
        <f t="shared" ref="P5:P7" si="0">SUM(N5:O5)</f>
        <v>833.12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8" si="1">(Q5*R5)+(S5*T5)</f>
        <v>240</v>
      </c>
      <c r="V5" s="70">
        <f t="shared" ref="V5:V8" si="2">U5+P5</f>
        <v>1073.1199999999999</v>
      </c>
      <c r="W5" s="70">
        <f t="shared" ref="W5:W8" si="3">V5</f>
        <v>1073.1199999999999</v>
      </c>
      <c r="X5" s="53"/>
    </row>
    <row r="6" spans="1:24" ht="14.5" x14ac:dyDescent="0.3">
      <c r="A6" s="76" t="s">
        <v>250</v>
      </c>
      <c r="B6" s="76" t="s">
        <v>212</v>
      </c>
      <c r="C6" s="76" t="s">
        <v>378</v>
      </c>
      <c r="D6" s="87" t="s">
        <v>384</v>
      </c>
      <c r="E6" s="99" t="s">
        <v>52</v>
      </c>
      <c r="F6" s="101" t="s">
        <v>600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44419</v>
      </c>
      <c r="M6" s="69">
        <v>44420</v>
      </c>
      <c r="N6" s="70">
        <f>1513.24/2</f>
        <v>756.62</v>
      </c>
      <c r="O6" s="70">
        <f>1513.24/2</f>
        <v>756.62</v>
      </c>
      <c r="P6" s="70">
        <f t="shared" si="0"/>
        <v>1513.24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1753.24</v>
      </c>
      <c r="W6" s="70">
        <f t="shared" si="3"/>
        <v>1753.24</v>
      </c>
      <c r="X6" s="53"/>
    </row>
    <row r="7" spans="1:24" ht="14.5" x14ac:dyDescent="0.3">
      <c r="A7" s="76" t="s">
        <v>250</v>
      </c>
      <c r="B7" s="76" t="s">
        <v>322</v>
      </c>
      <c r="C7" s="76" t="s">
        <v>451</v>
      </c>
      <c r="D7" s="87">
        <v>144</v>
      </c>
      <c r="E7" s="101" t="s">
        <v>129</v>
      </c>
      <c r="F7" s="101" t="s">
        <v>601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44425</v>
      </c>
      <c r="M7" s="69">
        <v>44427</v>
      </c>
      <c r="N7" s="70">
        <f>1690.94/2</f>
        <v>845.47</v>
      </c>
      <c r="O7" s="70">
        <f>902.91/2</f>
        <v>451.45499999999998</v>
      </c>
      <c r="P7" s="70">
        <f t="shared" si="0"/>
        <v>1296.925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1656.925</v>
      </c>
      <c r="W7" s="70">
        <f t="shared" si="3"/>
        <v>1656.925</v>
      </c>
      <c r="X7" s="53"/>
    </row>
    <row r="8" spans="1:24" ht="14.5" x14ac:dyDescent="0.3">
      <c r="A8" s="76" t="s">
        <v>250</v>
      </c>
      <c r="B8" s="76" t="s">
        <v>322</v>
      </c>
      <c r="C8" s="76" t="s">
        <v>343</v>
      </c>
      <c r="D8" s="87" t="s">
        <v>358</v>
      </c>
      <c r="E8" s="101" t="s">
        <v>129</v>
      </c>
      <c r="F8" s="101" t="s">
        <v>602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46958</v>
      </c>
      <c r="M8" s="69">
        <v>44436</v>
      </c>
      <c r="N8" s="70">
        <f>1093.18/2</f>
        <v>546.59</v>
      </c>
      <c r="O8" s="70">
        <f>1093.18/2</f>
        <v>546.59</v>
      </c>
      <c r="P8" s="70">
        <f t="shared" ref="P8" si="4">SUM(N8:O8)</f>
        <v>1093.18</v>
      </c>
      <c r="Q8" s="53">
        <v>4</v>
      </c>
      <c r="R8" s="70">
        <v>120</v>
      </c>
      <c r="S8" s="53">
        <v>0</v>
      </c>
      <c r="T8" s="70">
        <v>0</v>
      </c>
      <c r="U8" s="70">
        <f t="shared" si="1"/>
        <v>480</v>
      </c>
      <c r="V8" s="70">
        <f t="shared" si="2"/>
        <v>1573.18</v>
      </c>
      <c r="W8" s="70">
        <f t="shared" si="3"/>
        <v>1573.18</v>
      </c>
      <c r="X8" s="53"/>
    </row>
    <row r="9" spans="1:24" ht="14.5" x14ac:dyDescent="0.3">
      <c r="A9" s="76" t="s">
        <v>250</v>
      </c>
      <c r="B9" s="76" t="s">
        <v>322</v>
      </c>
      <c r="C9" s="76" t="s">
        <v>92</v>
      </c>
      <c r="D9" s="56" t="s">
        <v>93</v>
      </c>
      <c r="E9" s="101" t="s">
        <v>603</v>
      </c>
      <c r="F9" s="101" t="s">
        <v>602</v>
      </c>
      <c r="G9" s="76" t="s">
        <v>31</v>
      </c>
      <c r="H9" s="76" t="s">
        <v>32</v>
      </c>
      <c r="I9" s="76" t="s">
        <v>33</v>
      </c>
      <c r="J9" s="100" t="s">
        <v>595</v>
      </c>
      <c r="K9" s="100" t="s">
        <v>390</v>
      </c>
      <c r="L9" s="69">
        <v>46958</v>
      </c>
      <c r="M9" s="69">
        <v>44436</v>
      </c>
      <c r="N9" s="70">
        <f>1093.18/2</f>
        <v>546.59</v>
      </c>
      <c r="O9" s="70">
        <f>1093.18/2</f>
        <v>546.59</v>
      </c>
      <c r="P9" s="70">
        <f t="shared" ref="P9" si="5">SUM(N9:O9)</f>
        <v>1093.18</v>
      </c>
      <c r="Q9" s="53">
        <v>4</v>
      </c>
      <c r="R9" s="70">
        <v>120</v>
      </c>
      <c r="S9" s="53">
        <v>0</v>
      </c>
      <c r="T9" s="70">
        <v>0</v>
      </c>
      <c r="U9" s="70">
        <f t="shared" ref="U9" si="6">(Q9*R9)+(S9*T9)</f>
        <v>480</v>
      </c>
      <c r="V9" s="70">
        <f t="shared" ref="V9" si="7">U9+P9</f>
        <v>1573.18</v>
      </c>
      <c r="W9" s="70">
        <f t="shared" ref="W9" si="8">V9</f>
        <v>1573.18</v>
      </c>
      <c r="X9" s="53"/>
    </row>
    <row r="10" spans="1:24" x14ac:dyDescent="0.3">
      <c r="Q10" s="9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X12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50.83203125" bestFit="1" customWidth="1"/>
    <col min="3" max="3" width="51.33203125" bestFit="1" customWidth="1"/>
    <col min="5" max="5" width="31.75" bestFit="1" customWidth="1"/>
    <col min="6" max="6" width="86" bestFit="1" customWidth="1"/>
    <col min="10" max="10" width="3.33203125" bestFit="1" customWidth="1"/>
    <col min="11" max="11" width="13.08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92"/>
      <c r="B4" s="392"/>
      <c r="C4" s="392"/>
      <c r="D4" s="392"/>
      <c r="E4" s="392"/>
      <c r="F4" s="392"/>
      <c r="G4" s="392"/>
      <c r="H4" s="10" t="s">
        <v>27</v>
      </c>
      <c r="I4" s="10" t="s">
        <v>28</v>
      </c>
      <c r="J4" s="10" t="s">
        <v>27</v>
      </c>
      <c r="K4" s="11" t="s">
        <v>29</v>
      </c>
      <c r="L4" s="392"/>
      <c r="M4" s="392"/>
      <c r="N4" s="393"/>
      <c r="O4" s="393"/>
      <c r="P4" s="393"/>
      <c r="Q4" s="10" t="s">
        <v>2</v>
      </c>
      <c r="R4" s="11" t="s">
        <v>30</v>
      </c>
      <c r="S4" s="10" t="s">
        <v>2</v>
      </c>
      <c r="T4" s="11" t="s">
        <v>30</v>
      </c>
      <c r="U4" s="392"/>
      <c r="V4" s="393"/>
      <c r="W4" s="394"/>
      <c r="X4" s="391"/>
    </row>
    <row r="5" spans="1:24" ht="14.5" x14ac:dyDescent="0.3">
      <c r="A5" s="79" t="s">
        <v>250</v>
      </c>
      <c r="B5" s="79" t="s">
        <v>250</v>
      </c>
      <c r="C5" s="79" t="s">
        <v>319</v>
      </c>
      <c r="D5" s="79">
        <v>346</v>
      </c>
      <c r="E5" s="79" t="s">
        <v>55</v>
      </c>
      <c r="F5" s="79" t="s">
        <v>604</v>
      </c>
      <c r="G5" s="76" t="s">
        <v>31</v>
      </c>
      <c r="H5" s="76" t="s">
        <v>32</v>
      </c>
      <c r="I5" s="76" t="s">
        <v>33</v>
      </c>
      <c r="J5" s="102" t="s">
        <v>106</v>
      </c>
      <c r="K5" s="102" t="s">
        <v>107</v>
      </c>
      <c r="L5" s="69">
        <v>44449</v>
      </c>
      <c r="M5" s="69">
        <v>44449</v>
      </c>
      <c r="N5" s="70">
        <f>1907.48/2</f>
        <v>953.74</v>
      </c>
      <c r="O5" s="70">
        <f>1907.48/2</f>
        <v>953.74</v>
      </c>
      <c r="P5" s="70">
        <f t="shared" ref="P5:P8" si="0">SUM(N5:O5)</f>
        <v>1907.48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8" si="1">(Q5*R5)+(S5*T5)</f>
        <v>120</v>
      </c>
      <c r="V5" s="70">
        <f t="shared" ref="V5:V8" si="2">U5+P5</f>
        <v>2027.48</v>
      </c>
      <c r="W5" s="70">
        <f t="shared" ref="W5:W8" si="3">V5</f>
        <v>2027.48</v>
      </c>
      <c r="X5" s="53"/>
    </row>
    <row r="6" spans="1:24" ht="14.5" x14ac:dyDescent="0.3">
      <c r="A6" s="79" t="s">
        <v>250</v>
      </c>
      <c r="B6" s="79" t="s">
        <v>212</v>
      </c>
      <c r="C6" s="79" t="s">
        <v>378</v>
      </c>
      <c r="D6" s="79" t="s">
        <v>384</v>
      </c>
      <c r="E6" s="79" t="s">
        <v>52</v>
      </c>
      <c r="F6" s="79" t="s">
        <v>605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44453</v>
      </c>
      <c r="M6" s="69">
        <v>44454</v>
      </c>
      <c r="N6" s="70">
        <v>716.46</v>
      </c>
      <c r="O6" s="70">
        <v>1471.6200000000001</v>
      </c>
      <c r="P6" s="70">
        <f t="shared" si="0"/>
        <v>2188.08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2428.08</v>
      </c>
      <c r="W6" s="70">
        <f t="shared" si="3"/>
        <v>2428.08</v>
      </c>
      <c r="X6" s="53"/>
    </row>
    <row r="7" spans="1:24" ht="14.5" x14ac:dyDescent="0.3">
      <c r="A7" s="79" t="s">
        <v>250</v>
      </c>
      <c r="B7" s="79" t="s">
        <v>212</v>
      </c>
      <c r="C7" s="79" t="s">
        <v>270</v>
      </c>
      <c r="D7" s="79" t="s">
        <v>173</v>
      </c>
      <c r="E7" s="79" t="s">
        <v>599</v>
      </c>
      <c r="F7" s="79" t="s">
        <v>607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44460</v>
      </c>
      <c r="M7" s="69">
        <v>44462</v>
      </c>
      <c r="N7" s="70">
        <v>716.46</v>
      </c>
      <c r="O7" s="70">
        <v>1471.6200000000001</v>
      </c>
      <c r="P7" s="70">
        <f t="shared" si="0"/>
        <v>2188.08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2548.08</v>
      </c>
      <c r="W7" s="70">
        <f t="shared" si="3"/>
        <v>2548.08</v>
      </c>
      <c r="X7" s="53"/>
    </row>
    <row r="8" spans="1:24" ht="14.5" x14ac:dyDescent="0.3">
      <c r="A8" s="79" t="s">
        <v>250</v>
      </c>
      <c r="B8" s="79" t="s">
        <v>289</v>
      </c>
      <c r="C8" s="79" t="s">
        <v>236</v>
      </c>
      <c r="D8" s="103">
        <v>82</v>
      </c>
      <c r="E8" s="79" t="s">
        <v>89</v>
      </c>
      <c r="F8" s="79" t="s">
        <v>606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44439</v>
      </c>
      <c r="M8" s="69">
        <v>44440</v>
      </c>
      <c r="N8" s="70">
        <f>1471.62/2</f>
        <v>735.81</v>
      </c>
      <c r="O8" s="70">
        <f>1471.62/2</f>
        <v>735.81</v>
      </c>
      <c r="P8" s="70">
        <f t="shared" si="0"/>
        <v>1471.62</v>
      </c>
      <c r="Q8" s="53">
        <v>2</v>
      </c>
      <c r="R8" s="70">
        <v>120</v>
      </c>
      <c r="S8" s="53">
        <v>0</v>
      </c>
      <c r="T8" s="70">
        <v>0</v>
      </c>
      <c r="U8" s="70">
        <f t="shared" si="1"/>
        <v>240</v>
      </c>
      <c r="V8" s="70">
        <f t="shared" si="2"/>
        <v>1711.62</v>
      </c>
      <c r="W8" s="70">
        <f t="shared" si="3"/>
        <v>1711.62</v>
      </c>
      <c r="X8" s="53"/>
    </row>
    <row r="9" spans="1:24" x14ac:dyDescent="0.3">
      <c r="Q9" s="93"/>
    </row>
    <row r="10" spans="1:24" x14ac:dyDescent="0.3">
      <c r="Q10" s="93"/>
    </row>
    <row r="11" spans="1:24" x14ac:dyDescent="0.3">
      <c r="Q11" s="93"/>
    </row>
    <row r="12" spans="1:24" x14ac:dyDescent="0.3">
      <c r="Q12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X28"/>
  <sheetViews>
    <sheetView workbookViewId="0">
      <selection activeCell="D5" sqref="D5:E6"/>
    </sheetView>
  </sheetViews>
  <sheetFormatPr defaultRowHeight="14" x14ac:dyDescent="0.3"/>
  <cols>
    <col min="1" max="1" width="43.5" bestFit="1" customWidth="1"/>
    <col min="2" max="2" width="50.83203125" bestFit="1" customWidth="1"/>
    <col min="3" max="3" width="51.33203125" bestFit="1" customWidth="1"/>
    <col min="4" max="4" width="9" customWidth="1"/>
    <col min="5" max="5" width="47.33203125" customWidth="1"/>
    <col min="6" max="6" width="72.58203125" bestFit="1" customWidth="1"/>
    <col min="7" max="9" width="9" customWidth="1"/>
    <col min="10" max="10" width="3.33203125" customWidth="1"/>
    <col min="11" max="11" width="13.0820312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92"/>
      <c r="B4" s="392"/>
      <c r="C4" s="392"/>
      <c r="D4" s="392"/>
      <c r="E4" s="392"/>
      <c r="F4" s="392"/>
      <c r="G4" s="392"/>
      <c r="H4" s="10" t="s">
        <v>27</v>
      </c>
      <c r="I4" s="10" t="s">
        <v>28</v>
      </c>
      <c r="J4" s="10" t="s">
        <v>27</v>
      </c>
      <c r="K4" s="11" t="s">
        <v>29</v>
      </c>
      <c r="L4" s="392"/>
      <c r="M4" s="392"/>
      <c r="N4" s="393"/>
      <c r="O4" s="393"/>
      <c r="P4" s="393"/>
      <c r="Q4" s="10" t="s">
        <v>2</v>
      </c>
      <c r="R4" s="11" t="s">
        <v>30</v>
      </c>
      <c r="S4" s="10" t="s">
        <v>2</v>
      </c>
      <c r="T4" s="11" t="s">
        <v>30</v>
      </c>
      <c r="U4" s="392"/>
      <c r="V4" s="393"/>
      <c r="W4" s="394"/>
      <c r="X4" s="391"/>
    </row>
    <row r="5" spans="1:24" ht="14.5" x14ac:dyDescent="0.3">
      <c r="A5" s="79" t="s">
        <v>597</v>
      </c>
      <c r="B5" s="79" t="s">
        <v>542</v>
      </c>
      <c r="C5" s="79" t="s">
        <v>541</v>
      </c>
      <c r="D5" s="87">
        <v>353</v>
      </c>
      <c r="E5" s="104" t="s">
        <v>548</v>
      </c>
      <c r="F5" s="104" t="s">
        <v>622</v>
      </c>
      <c r="G5" s="76" t="s">
        <v>31</v>
      </c>
      <c r="H5" s="76" t="s">
        <v>32</v>
      </c>
      <c r="I5" s="76" t="s">
        <v>33</v>
      </c>
      <c r="J5" s="100" t="s">
        <v>595</v>
      </c>
      <c r="K5" s="100" t="s">
        <v>390</v>
      </c>
      <c r="L5" s="69">
        <v>44489</v>
      </c>
      <c r="M5" s="69">
        <v>44491</v>
      </c>
      <c r="N5" s="70">
        <f>666.8/2</f>
        <v>333.4</v>
      </c>
      <c r="O5" s="70">
        <f>666.8/2</f>
        <v>333.4</v>
      </c>
      <c r="P5" s="70">
        <f t="shared" ref="P5:P28" si="0">SUM(N5:O5)</f>
        <v>666.8</v>
      </c>
      <c r="Q5" s="53">
        <v>3</v>
      </c>
      <c r="R5" s="70">
        <v>120</v>
      </c>
      <c r="S5" s="53">
        <v>0</v>
      </c>
      <c r="T5" s="70">
        <v>0</v>
      </c>
      <c r="U5" s="70">
        <f t="shared" ref="U5:U8" si="1">(Q5*R5)+(S5*T5)</f>
        <v>360</v>
      </c>
      <c r="V5" s="70">
        <f t="shared" ref="V5:V8" si="2">U5+P5</f>
        <v>1026.8</v>
      </c>
      <c r="W5" s="70">
        <f t="shared" ref="W5:W8" si="3">V5</f>
        <v>1026.8</v>
      </c>
      <c r="X5" s="53"/>
    </row>
    <row r="6" spans="1:24" ht="14.5" x14ac:dyDescent="0.3">
      <c r="A6" s="79" t="s">
        <v>597</v>
      </c>
      <c r="B6" s="79" t="s">
        <v>362</v>
      </c>
      <c r="C6" s="79" t="s">
        <v>361</v>
      </c>
      <c r="D6" s="87">
        <v>23</v>
      </c>
      <c r="E6" s="104" t="s">
        <v>621</v>
      </c>
      <c r="F6" s="104" t="s">
        <v>622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44489</v>
      </c>
      <c r="M6" s="69">
        <v>44491</v>
      </c>
      <c r="N6" s="70">
        <f t="shared" ref="N6:O8" si="4">468.04/2</f>
        <v>234.02</v>
      </c>
      <c r="O6" s="70">
        <f t="shared" si="4"/>
        <v>234.02</v>
      </c>
      <c r="P6" s="70">
        <f t="shared" si="0"/>
        <v>468.04</v>
      </c>
      <c r="Q6" s="53">
        <v>3</v>
      </c>
      <c r="R6" s="70">
        <v>120</v>
      </c>
      <c r="S6" s="53">
        <v>0</v>
      </c>
      <c r="T6" s="70">
        <v>0</v>
      </c>
      <c r="U6" s="70">
        <f t="shared" si="1"/>
        <v>360</v>
      </c>
      <c r="V6" s="70">
        <f t="shared" si="2"/>
        <v>828.04</v>
      </c>
      <c r="W6" s="70">
        <f t="shared" si="3"/>
        <v>828.04</v>
      </c>
      <c r="X6" s="53"/>
    </row>
    <row r="7" spans="1:24" ht="14.5" x14ac:dyDescent="0.3">
      <c r="A7" s="79" t="s">
        <v>597</v>
      </c>
      <c r="B7" s="79" t="s">
        <v>215</v>
      </c>
      <c r="C7" s="79" t="s">
        <v>48</v>
      </c>
      <c r="D7" s="87">
        <v>56</v>
      </c>
      <c r="E7" s="104" t="s">
        <v>615</v>
      </c>
      <c r="F7" s="104" t="s">
        <v>622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44489</v>
      </c>
      <c r="M7" s="69">
        <v>44491</v>
      </c>
      <c r="N7" s="70">
        <f t="shared" si="4"/>
        <v>234.02</v>
      </c>
      <c r="O7" s="70">
        <f t="shared" si="4"/>
        <v>234.02</v>
      </c>
      <c r="P7" s="70">
        <f t="shared" si="0"/>
        <v>468.04</v>
      </c>
      <c r="Q7" s="53">
        <v>3</v>
      </c>
      <c r="R7" s="70">
        <v>12</v>
      </c>
      <c r="S7" s="53">
        <v>3</v>
      </c>
      <c r="T7" s="70">
        <v>100</v>
      </c>
      <c r="U7" s="70">
        <f t="shared" si="1"/>
        <v>336</v>
      </c>
      <c r="V7" s="70">
        <f t="shared" si="2"/>
        <v>804.04</v>
      </c>
      <c r="W7" s="70">
        <f t="shared" si="3"/>
        <v>804.04</v>
      </c>
      <c r="X7" s="53"/>
    </row>
    <row r="8" spans="1:24" ht="14.5" x14ac:dyDescent="0.3">
      <c r="A8" s="79" t="s">
        <v>597</v>
      </c>
      <c r="B8" s="79" t="s">
        <v>215</v>
      </c>
      <c r="C8" s="79" t="s">
        <v>276</v>
      </c>
      <c r="D8" s="87">
        <v>157</v>
      </c>
      <c r="E8" s="104" t="s">
        <v>511</v>
      </c>
      <c r="F8" s="104" t="s">
        <v>622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44489</v>
      </c>
      <c r="M8" s="69">
        <v>44491</v>
      </c>
      <c r="N8" s="70">
        <f t="shared" si="4"/>
        <v>234.02</v>
      </c>
      <c r="O8" s="70">
        <f t="shared" si="4"/>
        <v>234.02</v>
      </c>
      <c r="P8" s="70">
        <f t="shared" si="0"/>
        <v>468.04</v>
      </c>
      <c r="Q8" s="53">
        <v>3</v>
      </c>
      <c r="R8" s="70">
        <v>120</v>
      </c>
      <c r="S8" s="53">
        <v>0</v>
      </c>
      <c r="T8" s="70">
        <v>0</v>
      </c>
      <c r="U8" s="70">
        <f t="shared" si="1"/>
        <v>360</v>
      </c>
      <c r="V8" s="70">
        <f t="shared" si="2"/>
        <v>828.04</v>
      </c>
      <c r="W8" s="70">
        <f t="shared" si="3"/>
        <v>828.04</v>
      </c>
      <c r="X8" s="53"/>
    </row>
    <row r="9" spans="1:24" ht="14.5" x14ac:dyDescent="0.3">
      <c r="A9" s="79" t="s">
        <v>597</v>
      </c>
      <c r="B9" s="79" t="s">
        <v>597</v>
      </c>
      <c r="C9" s="79" t="s">
        <v>412</v>
      </c>
      <c r="D9" s="106">
        <v>0</v>
      </c>
      <c r="E9" s="104" t="s">
        <v>561</v>
      </c>
      <c r="F9" s="104" t="s">
        <v>622</v>
      </c>
      <c r="G9" s="76" t="s">
        <v>31</v>
      </c>
      <c r="H9" s="76" t="s">
        <v>32</v>
      </c>
      <c r="I9" s="76" t="s">
        <v>33</v>
      </c>
      <c r="J9" s="100" t="s">
        <v>595</v>
      </c>
      <c r="K9" s="100" t="s">
        <v>390</v>
      </c>
      <c r="L9" s="69">
        <v>44489</v>
      </c>
      <c r="M9" s="69">
        <v>44492</v>
      </c>
      <c r="N9" s="70">
        <f>1850.95/2</f>
        <v>925.47500000000002</v>
      </c>
      <c r="O9" s="70">
        <f>1850.95/2</f>
        <v>925.47500000000002</v>
      </c>
      <c r="P9" s="70">
        <f t="shared" si="0"/>
        <v>1850.95</v>
      </c>
      <c r="Q9" s="53">
        <v>0</v>
      </c>
      <c r="R9" s="70">
        <v>0</v>
      </c>
      <c r="S9" s="53">
        <v>0</v>
      </c>
      <c r="T9" s="70">
        <v>0</v>
      </c>
      <c r="U9" s="70">
        <f t="shared" ref="U9:U27" si="5">(Q9*R9)+(S9*T9)</f>
        <v>0</v>
      </c>
      <c r="V9" s="70">
        <f t="shared" ref="V9:V27" si="6">U9+P9</f>
        <v>1850.95</v>
      </c>
      <c r="W9" s="70">
        <f t="shared" ref="W9:W27" si="7">V9</f>
        <v>1850.95</v>
      </c>
      <c r="X9" s="44"/>
    </row>
    <row r="10" spans="1:24" ht="14.5" x14ac:dyDescent="0.3">
      <c r="A10" s="79" t="s">
        <v>372</v>
      </c>
      <c r="B10" s="79" t="s">
        <v>372</v>
      </c>
      <c r="C10" s="79" t="s">
        <v>134</v>
      </c>
      <c r="D10" s="87">
        <v>202</v>
      </c>
      <c r="E10" s="104" t="s">
        <v>87</v>
      </c>
      <c r="F10" s="104" t="s">
        <v>622</v>
      </c>
      <c r="G10" s="76" t="s">
        <v>31</v>
      </c>
      <c r="H10" s="76" t="s">
        <v>32</v>
      </c>
      <c r="I10" s="76" t="s">
        <v>33</v>
      </c>
      <c r="J10" s="100" t="s">
        <v>595</v>
      </c>
      <c r="K10" s="100" t="s">
        <v>390</v>
      </c>
      <c r="L10" s="69">
        <v>44489</v>
      </c>
      <c r="M10" s="69">
        <v>44491</v>
      </c>
      <c r="N10" s="70">
        <f>1529.81/2</f>
        <v>764.90499999999997</v>
      </c>
      <c r="O10" s="70">
        <f>1529.81/2</f>
        <v>764.90499999999997</v>
      </c>
      <c r="P10" s="70">
        <f t="shared" si="0"/>
        <v>1529.81</v>
      </c>
      <c r="Q10" s="53">
        <v>3</v>
      </c>
      <c r="R10" s="70">
        <v>120</v>
      </c>
      <c r="S10" s="53">
        <v>0</v>
      </c>
      <c r="T10" s="70">
        <v>0</v>
      </c>
      <c r="U10" s="70">
        <f t="shared" si="5"/>
        <v>360</v>
      </c>
      <c r="V10" s="70">
        <f t="shared" si="6"/>
        <v>1889.81</v>
      </c>
      <c r="W10" s="70">
        <f t="shared" si="7"/>
        <v>1889.81</v>
      </c>
      <c r="X10" s="44"/>
    </row>
    <row r="11" spans="1:24" ht="14.5" x14ac:dyDescent="0.3">
      <c r="A11" s="79" t="s">
        <v>250</v>
      </c>
      <c r="B11" s="79" t="s">
        <v>258</v>
      </c>
      <c r="C11" s="79" t="s">
        <v>432</v>
      </c>
      <c r="D11" s="87">
        <v>264</v>
      </c>
      <c r="E11" s="104" t="s">
        <v>616</v>
      </c>
      <c r="F11" s="104" t="s">
        <v>622</v>
      </c>
      <c r="G11" s="76" t="s">
        <v>31</v>
      </c>
      <c r="H11" s="76" t="s">
        <v>32</v>
      </c>
      <c r="I11" s="76" t="s">
        <v>33</v>
      </c>
      <c r="J11" s="100" t="s">
        <v>595</v>
      </c>
      <c r="K11" s="100" t="s">
        <v>390</v>
      </c>
      <c r="L11" s="69">
        <v>44489</v>
      </c>
      <c r="M11" s="69">
        <v>44491</v>
      </c>
      <c r="N11" s="70">
        <v>1690.94</v>
      </c>
      <c r="O11" s="70">
        <v>1471.62</v>
      </c>
      <c r="P11" s="70">
        <f t="shared" si="0"/>
        <v>3162.56</v>
      </c>
      <c r="Q11" s="53">
        <v>3</v>
      </c>
      <c r="R11" s="70">
        <v>120</v>
      </c>
      <c r="S11" s="53">
        <v>0</v>
      </c>
      <c r="T11" s="70">
        <v>0</v>
      </c>
      <c r="U11" s="70">
        <f t="shared" si="5"/>
        <v>360</v>
      </c>
      <c r="V11" s="70">
        <f t="shared" si="6"/>
        <v>3522.56</v>
      </c>
      <c r="W11" s="70">
        <f t="shared" si="7"/>
        <v>3522.56</v>
      </c>
      <c r="X11" s="44"/>
    </row>
    <row r="12" spans="1:24" ht="14.5" x14ac:dyDescent="0.3">
      <c r="A12" s="79" t="s">
        <v>250</v>
      </c>
      <c r="B12" s="79" t="s">
        <v>250</v>
      </c>
      <c r="C12" s="79" t="s">
        <v>478</v>
      </c>
      <c r="D12" s="106">
        <v>0</v>
      </c>
      <c r="E12" s="104" t="s">
        <v>55</v>
      </c>
      <c r="F12" s="104" t="s">
        <v>622</v>
      </c>
      <c r="G12" s="76" t="s">
        <v>31</v>
      </c>
      <c r="H12" s="76" t="s">
        <v>32</v>
      </c>
      <c r="I12" s="76" t="s">
        <v>33</v>
      </c>
      <c r="J12" s="100" t="s">
        <v>595</v>
      </c>
      <c r="K12" s="100" t="s">
        <v>390</v>
      </c>
      <c r="L12" s="69">
        <v>44489</v>
      </c>
      <c r="M12" s="69">
        <v>44490</v>
      </c>
      <c r="N12" s="70">
        <f>716.46/2</f>
        <v>358.23</v>
      </c>
      <c r="O12" s="70">
        <f>716.46/2</f>
        <v>358.23</v>
      </c>
      <c r="P12" s="70">
        <f t="shared" si="0"/>
        <v>716.46</v>
      </c>
      <c r="Q12" s="53">
        <v>0</v>
      </c>
      <c r="R12" s="70">
        <v>0</v>
      </c>
      <c r="S12" s="53">
        <v>0</v>
      </c>
      <c r="T12" s="70">
        <v>0</v>
      </c>
      <c r="U12" s="70">
        <f t="shared" si="5"/>
        <v>0</v>
      </c>
      <c r="V12" s="70">
        <f t="shared" si="6"/>
        <v>716.46</v>
      </c>
      <c r="W12" s="70">
        <f t="shared" si="7"/>
        <v>716.46</v>
      </c>
      <c r="X12" s="44"/>
    </row>
    <row r="13" spans="1:24" ht="14.5" x14ac:dyDescent="0.3">
      <c r="A13" s="79" t="s">
        <v>250</v>
      </c>
      <c r="B13" s="79" t="s">
        <v>212</v>
      </c>
      <c r="C13" s="79" t="s">
        <v>378</v>
      </c>
      <c r="D13" s="106">
        <v>347</v>
      </c>
      <c r="E13" s="104" t="s">
        <v>52</v>
      </c>
      <c r="F13" s="104" t="s">
        <v>622</v>
      </c>
      <c r="G13" s="76" t="s">
        <v>31</v>
      </c>
      <c r="H13" s="76" t="s">
        <v>32</v>
      </c>
      <c r="I13" s="76" t="s">
        <v>33</v>
      </c>
      <c r="J13" s="100" t="s">
        <v>595</v>
      </c>
      <c r="K13" s="100" t="s">
        <v>390</v>
      </c>
      <c r="L13" s="69">
        <v>44489</v>
      </c>
      <c r="M13" s="69">
        <v>44490</v>
      </c>
      <c r="N13" s="70">
        <f>439.46/2</f>
        <v>219.73</v>
      </c>
      <c r="O13" s="70">
        <f>439.46/2</f>
        <v>219.73</v>
      </c>
      <c r="P13" s="70">
        <f t="shared" si="0"/>
        <v>439.46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5"/>
        <v>240</v>
      </c>
      <c r="V13" s="70">
        <f t="shared" si="6"/>
        <v>679.46</v>
      </c>
      <c r="W13" s="70">
        <f t="shared" si="7"/>
        <v>679.46</v>
      </c>
      <c r="X13" s="44"/>
    </row>
    <row r="14" spans="1:24" ht="14.5" x14ac:dyDescent="0.3">
      <c r="A14" s="79" t="s">
        <v>250</v>
      </c>
      <c r="B14" s="79" t="s">
        <v>250</v>
      </c>
      <c r="C14" s="79" t="s">
        <v>319</v>
      </c>
      <c r="D14" s="87">
        <v>346</v>
      </c>
      <c r="E14" s="104" t="s">
        <v>87</v>
      </c>
      <c r="F14" s="104" t="s">
        <v>622</v>
      </c>
      <c r="G14" s="76" t="s">
        <v>31</v>
      </c>
      <c r="H14" s="76" t="s">
        <v>32</v>
      </c>
      <c r="I14" s="76" t="s">
        <v>33</v>
      </c>
      <c r="J14" s="100" t="s">
        <v>595</v>
      </c>
      <c r="K14" s="100" t="s">
        <v>390</v>
      </c>
      <c r="L14" s="69">
        <v>44489</v>
      </c>
      <c r="M14" s="69">
        <v>44490</v>
      </c>
      <c r="N14" s="70">
        <f>439.46/2</f>
        <v>219.73</v>
      </c>
      <c r="O14" s="70">
        <f>439.46/2</f>
        <v>219.73</v>
      </c>
      <c r="P14" s="70">
        <f t="shared" si="0"/>
        <v>439.46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5"/>
        <v>240</v>
      </c>
      <c r="V14" s="70">
        <f t="shared" si="6"/>
        <v>679.46</v>
      </c>
      <c r="W14" s="70">
        <f t="shared" si="7"/>
        <v>679.46</v>
      </c>
      <c r="X14" s="44"/>
    </row>
    <row r="15" spans="1:24" ht="14.5" x14ac:dyDescent="0.3">
      <c r="A15" s="79" t="s">
        <v>250</v>
      </c>
      <c r="B15" s="79" t="s">
        <v>289</v>
      </c>
      <c r="C15" s="79" t="s">
        <v>236</v>
      </c>
      <c r="D15" s="87">
        <v>82</v>
      </c>
      <c r="E15" s="104" t="s">
        <v>89</v>
      </c>
      <c r="F15" s="104" t="s">
        <v>622</v>
      </c>
      <c r="G15" s="76" t="s">
        <v>31</v>
      </c>
      <c r="H15" s="76" t="s">
        <v>32</v>
      </c>
      <c r="I15" s="76" t="s">
        <v>33</v>
      </c>
      <c r="J15" s="100" t="s">
        <v>595</v>
      </c>
      <c r="K15" s="100" t="s">
        <v>390</v>
      </c>
      <c r="L15" s="69">
        <v>44489</v>
      </c>
      <c r="M15" s="69">
        <v>44490</v>
      </c>
      <c r="N15" s="70">
        <f>671.21/2</f>
        <v>335.60500000000002</v>
      </c>
      <c r="O15" s="70">
        <f>671.21/2</f>
        <v>335.60500000000002</v>
      </c>
      <c r="P15" s="70">
        <f t="shared" si="0"/>
        <v>671.21</v>
      </c>
      <c r="Q15" s="53">
        <v>2</v>
      </c>
      <c r="R15" s="70">
        <v>120</v>
      </c>
      <c r="S15" s="53">
        <v>0</v>
      </c>
      <c r="T15" s="70">
        <v>0</v>
      </c>
      <c r="U15" s="70">
        <f t="shared" si="5"/>
        <v>240</v>
      </c>
      <c r="V15" s="70">
        <f t="shared" si="6"/>
        <v>911.21</v>
      </c>
      <c r="W15" s="70">
        <f t="shared" si="7"/>
        <v>911.21</v>
      </c>
      <c r="X15" s="44"/>
    </row>
    <row r="16" spans="1:24" ht="14.5" x14ac:dyDescent="0.3">
      <c r="A16" s="79" t="s">
        <v>372</v>
      </c>
      <c r="B16" s="79" t="s">
        <v>372</v>
      </c>
      <c r="C16" s="79" t="s">
        <v>75</v>
      </c>
      <c r="D16" s="106">
        <v>0</v>
      </c>
      <c r="E16" s="104" t="s">
        <v>88</v>
      </c>
      <c r="F16" s="104" t="s">
        <v>622</v>
      </c>
      <c r="G16" s="76" t="s">
        <v>31</v>
      </c>
      <c r="H16" s="76" t="s">
        <v>32</v>
      </c>
      <c r="I16" s="76" t="s">
        <v>33</v>
      </c>
      <c r="J16" s="100" t="s">
        <v>595</v>
      </c>
      <c r="K16" s="100" t="s">
        <v>390</v>
      </c>
      <c r="L16" s="69">
        <v>44489</v>
      </c>
      <c r="M16" s="69">
        <v>44491</v>
      </c>
      <c r="N16" s="70">
        <f>439.46/2</f>
        <v>219.73</v>
      </c>
      <c r="O16" s="70">
        <f>439.46/2</f>
        <v>219.73</v>
      </c>
      <c r="P16" s="70">
        <f t="shared" si="0"/>
        <v>439.46</v>
      </c>
      <c r="Q16" s="53">
        <v>0</v>
      </c>
      <c r="R16" s="70">
        <v>0</v>
      </c>
      <c r="S16" s="53">
        <v>0</v>
      </c>
      <c r="T16" s="70">
        <v>0</v>
      </c>
      <c r="U16" s="70">
        <f t="shared" si="5"/>
        <v>0</v>
      </c>
      <c r="V16" s="70">
        <f t="shared" si="6"/>
        <v>439.46</v>
      </c>
      <c r="W16" s="70">
        <f t="shared" si="7"/>
        <v>439.46</v>
      </c>
      <c r="X16" s="44"/>
    </row>
    <row r="17" spans="1:24" ht="14.5" x14ac:dyDescent="0.3">
      <c r="A17" s="79" t="s">
        <v>597</v>
      </c>
      <c r="B17" s="79" t="s">
        <v>301</v>
      </c>
      <c r="C17" s="79" t="s">
        <v>608</v>
      </c>
      <c r="D17" s="106">
        <v>355</v>
      </c>
      <c r="E17" s="104" t="s">
        <v>313</v>
      </c>
      <c r="F17" s="104" t="s">
        <v>622</v>
      </c>
      <c r="G17" s="76" t="s">
        <v>31</v>
      </c>
      <c r="H17" s="76" t="s">
        <v>32</v>
      </c>
      <c r="I17" s="76" t="s">
        <v>33</v>
      </c>
      <c r="J17" s="100" t="s">
        <v>595</v>
      </c>
      <c r="K17" s="100" t="s">
        <v>390</v>
      </c>
      <c r="L17" s="69">
        <v>44489</v>
      </c>
      <c r="M17" s="69">
        <v>44493</v>
      </c>
      <c r="N17" s="70">
        <f>517.81/2</f>
        <v>258.90499999999997</v>
      </c>
      <c r="O17" s="70">
        <f>517.81/2</f>
        <v>258.90499999999997</v>
      </c>
      <c r="P17" s="70">
        <f t="shared" si="0"/>
        <v>517.80999999999995</v>
      </c>
      <c r="Q17" s="53">
        <v>5</v>
      </c>
      <c r="R17" s="70">
        <v>120</v>
      </c>
      <c r="S17" s="53">
        <v>0</v>
      </c>
      <c r="T17" s="70">
        <v>0</v>
      </c>
      <c r="U17" s="70">
        <f t="shared" si="5"/>
        <v>600</v>
      </c>
      <c r="V17" s="70">
        <f t="shared" si="6"/>
        <v>1117.81</v>
      </c>
      <c r="W17" s="70">
        <f t="shared" si="7"/>
        <v>1117.81</v>
      </c>
      <c r="X17" s="44"/>
    </row>
    <row r="18" spans="1:24" ht="14.5" x14ac:dyDescent="0.3">
      <c r="A18" s="79" t="s">
        <v>250</v>
      </c>
      <c r="B18" s="79" t="s">
        <v>258</v>
      </c>
      <c r="C18" s="79" t="s">
        <v>609</v>
      </c>
      <c r="D18" s="106">
        <v>372</v>
      </c>
      <c r="E18" s="104" t="s">
        <v>617</v>
      </c>
      <c r="F18" s="104" t="s">
        <v>622</v>
      </c>
      <c r="G18" s="76" t="s">
        <v>31</v>
      </c>
      <c r="H18" s="76" t="s">
        <v>32</v>
      </c>
      <c r="I18" s="76" t="s">
        <v>33</v>
      </c>
      <c r="J18" s="100" t="s">
        <v>595</v>
      </c>
      <c r="K18" s="100" t="s">
        <v>390</v>
      </c>
      <c r="L18" s="69">
        <v>44488</v>
      </c>
      <c r="M18" s="69">
        <v>44491</v>
      </c>
      <c r="N18" s="70">
        <f>695.49/2</f>
        <v>347.745</v>
      </c>
      <c r="O18" s="70">
        <f>695.49/2</f>
        <v>347.745</v>
      </c>
      <c r="P18" s="70">
        <f t="shared" si="0"/>
        <v>695.49</v>
      </c>
      <c r="Q18" s="53">
        <v>4</v>
      </c>
      <c r="R18" s="70">
        <v>120</v>
      </c>
      <c r="S18" s="53">
        <v>0</v>
      </c>
      <c r="T18" s="70">
        <v>0</v>
      </c>
      <c r="U18" s="70">
        <f t="shared" si="5"/>
        <v>480</v>
      </c>
      <c r="V18" s="70">
        <f t="shared" si="6"/>
        <v>1175.49</v>
      </c>
      <c r="W18" s="70">
        <f t="shared" si="7"/>
        <v>1175.49</v>
      </c>
      <c r="X18" s="44"/>
    </row>
    <row r="19" spans="1:24" ht="14.5" x14ac:dyDescent="0.3">
      <c r="A19" s="79" t="s">
        <v>250</v>
      </c>
      <c r="B19" s="79" t="s">
        <v>258</v>
      </c>
      <c r="C19" s="79" t="s">
        <v>375</v>
      </c>
      <c r="D19" s="106">
        <v>64</v>
      </c>
      <c r="E19" s="104" t="s">
        <v>261</v>
      </c>
      <c r="F19" s="104" t="s">
        <v>622</v>
      </c>
      <c r="G19" s="76" t="s">
        <v>31</v>
      </c>
      <c r="H19" s="76" t="s">
        <v>32</v>
      </c>
      <c r="I19" s="76" t="s">
        <v>33</v>
      </c>
      <c r="J19" s="100" t="s">
        <v>595</v>
      </c>
      <c r="K19" s="100" t="s">
        <v>390</v>
      </c>
      <c r="L19" s="69">
        <v>44488</v>
      </c>
      <c r="M19" s="69">
        <v>44491</v>
      </c>
      <c r="N19" s="70">
        <v>1398.26</v>
      </c>
      <c r="O19" s="70">
        <v>1471.62</v>
      </c>
      <c r="P19" s="70">
        <f t="shared" si="0"/>
        <v>2869.88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5"/>
        <v>480</v>
      </c>
      <c r="V19" s="70">
        <f t="shared" si="6"/>
        <v>3349.88</v>
      </c>
      <c r="W19" s="70">
        <f t="shared" si="7"/>
        <v>3349.88</v>
      </c>
      <c r="X19" s="44"/>
    </row>
    <row r="20" spans="1:24" ht="14.5" x14ac:dyDescent="0.3">
      <c r="A20" s="79" t="s">
        <v>597</v>
      </c>
      <c r="B20" s="79" t="s">
        <v>301</v>
      </c>
      <c r="C20" s="79" t="s">
        <v>610</v>
      </c>
      <c r="D20" s="106">
        <v>366</v>
      </c>
      <c r="E20" s="104" t="s">
        <v>618</v>
      </c>
      <c r="F20" s="104" t="s">
        <v>622</v>
      </c>
      <c r="G20" s="76" t="s">
        <v>31</v>
      </c>
      <c r="H20" s="76" t="s">
        <v>32</v>
      </c>
      <c r="I20" s="76" t="s">
        <v>33</v>
      </c>
      <c r="J20" s="100" t="s">
        <v>595</v>
      </c>
      <c r="K20" s="100" t="s">
        <v>390</v>
      </c>
      <c r="L20" s="69">
        <v>44489</v>
      </c>
      <c r="M20" s="69">
        <v>44491</v>
      </c>
      <c r="N20" s="70">
        <f>671.21/2</f>
        <v>335.60500000000002</v>
      </c>
      <c r="O20" s="70">
        <f>671.21/2</f>
        <v>335.60500000000002</v>
      </c>
      <c r="P20" s="70">
        <f t="shared" si="0"/>
        <v>671.21</v>
      </c>
      <c r="Q20" s="53">
        <v>3</v>
      </c>
      <c r="R20" s="70">
        <v>120</v>
      </c>
      <c r="S20" s="53">
        <v>0</v>
      </c>
      <c r="T20" s="70">
        <v>0</v>
      </c>
      <c r="U20" s="70">
        <f t="shared" si="5"/>
        <v>360</v>
      </c>
      <c r="V20" s="70">
        <f t="shared" si="6"/>
        <v>1031.21</v>
      </c>
      <c r="W20" s="70">
        <f t="shared" si="7"/>
        <v>1031.21</v>
      </c>
      <c r="X20" s="44"/>
    </row>
    <row r="21" spans="1:24" ht="14.5" x14ac:dyDescent="0.3">
      <c r="A21" s="79" t="s">
        <v>250</v>
      </c>
      <c r="B21" s="79" t="s">
        <v>212</v>
      </c>
      <c r="C21" s="79" t="s">
        <v>378</v>
      </c>
      <c r="D21" s="106">
        <v>347</v>
      </c>
      <c r="E21" s="104" t="s">
        <v>52</v>
      </c>
      <c r="F21" s="104" t="s">
        <v>605</v>
      </c>
      <c r="G21" s="76" t="s">
        <v>31</v>
      </c>
      <c r="H21" s="76" t="s">
        <v>32</v>
      </c>
      <c r="I21" s="76" t="s">
        <v>33</v>
      </c>
      <c r="J21" s="100" t="s">
        <v>595</v>
      </c>
      <c r="K21" s="100" t="s">
        <v>390</v>
      </c>
      <c r="L21" s="69">
        <v>44474</v>
      </c>
      <c r="M21" s="69">
        <v>44476</v>
      </c>
      <c r="N21" s="70">
        <f>1125.89/2</f>
        <v>562.94500000000005</v>
      </c>
      <c r="O21" s="70">
        <f>1125.89/2</f>
        <v>562.94500000000005</v>
      </c>
      <c r="P21" s="70">
        <f t="shared" si="0"/>
        <v>1125.8900000000001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5"/>
        <v>360</v>
      </c>
      <c r="V21" s="70">
        <f t="shared" si="6"/>
        <v>1485.89</v>
      </c>
      <c r="W21" s="70">
        <f t="shared" si="7"/>
        <v>1485.89</v>
      </c>
      <c r="X21" s="44"/>
    </row>
    <row r="22" spans="1:24" ht="14.5" x14ac:dyDescent="0.3">
      <c r="A22" s="79" t="s">
        <v>372</v>
      </c>
      <c r="B22" s="79" t="s">
        <v>372</v>
      </c>
      <c r="C22" s="79" t="s">
        <v>611</v>
      </c>
      <c r="D22" s="106">
        <v>57</v>
      </c>
      <c r="E22" s="104" t="s">
        <v>619</v>
      </c>
      <c r="F22" s="104" t="s">
        <v>622</v>
      </c>
      <c r="G22" s="76" t="s">
        <v>31</v>
      </c>
      <c r="H22" s="76" t="s">
        <v>32</v>
      </c>
      <c r="I22" s="76" t="s">
        <v>33</v>
      </c>
      <c r="J22" s="100" t="s">
        <v>595</v>
      </c>
      <c r="K22" s="100" t="s">
        <v>390</v>
      </c>
      <c r="L22" s="69">
        <v>44489</v>
      </c>
      <c r="M22" s="69">
        <v>44492</v>
      </c>
      <c r="N22" s="70">
        <f>699.9/2</f>
        <v>349.95</v>
      </c>
      <c r="O22" s="70">
        <f>699.9/2</f>
        <v>349.95</v>
      </c>
      <c r="P22" s="70">
        <f t="shared" si="0"/>
        <v>699.9</v>
      </c>
      <c r="Q22" s="53">
        <v>4</v>
      </c>
      <c r="R22" s="70">
        <v>120</v>
      </c>
      <c r="S22" s="53">
        <v>0</v>
      </c>
      <c r="T22" s="70">
        <v>0</v>
      </c>
      <c r="U22" s="70">
        <f t="shared" si="5"/>
        <v>480</v>
      </c>
      <c r="V22" s="70">
        <f t="shared" si="6"/>
        <v>1179.9000000000001</v>
      </c>
      <c r="W22" s="70">
        <f t="shared" si="7"/>
        <v>1179.9000000000001</v>
      </c>
      <c r="X22" s="44"/>
    </row>
    <row r="23" spans="1:24" ht="14.5" x14ac:dyDescent="0.3">
      <c r="A23" s="79" t="s">
        <v>250</v>
      </c>
      <c r="B23" s="79" t="s">
        <v>289</v>
      </c>
      <c r="C23" s="79" t="s">
        <v>340</v>
      </c>
      <c r="D23" s="106">
        <v>74</v>
      </c>
      <c r="E23" s="104" t="s">
        <v>327</v>
      </c>
      <c r="F23" s="104" t="s">
        <v>623</v>
      </c>
      <c r="G23" s="76" t="s">
        <v>31</v>
      </c>
      <c r="H23" s="76" t="s">
        <v>32</v>
      </c>
      <c r="I23" s="76" t="s">
        <v>33</v>
      </c>
      <c r="J23" s="100" t="s">
        <v>595</v>
      </c>
      <c r="K23" s="100" t="s">
        <v>390</v>
      </c>
      <c r="L23" s="69">
        <v>44476</v>
      </c>
      <c r="M23" s="69">
        <v>44491</v>
      </c>
      <c r="N23" s="70">
        <f>1203.13/2</f>
        <v>601.56500000000005</v>
      </c>
      <c r="O23" s="70">
        <f>1203.13/2</f>
        <v>601.56500000000005</v>
      </c>
      <c r="P23" s="70">
        <f t="shared" si="0"/>
        <v>1203.1300000000001</v>
      </c>
      <c r="Q23" s="53">
        <v>16</v>
      </c>
      <c r="R23" s="70">
        <v>120</v>
      </c>
      <c r="S23" s="53">
        <v>0</v>
      </c>
      <c r="T23" s="70">
        <v>0</v>
      </c>
      <c r="U23" s="70">
        <f t="shared" si="5"/>
        <v>1920</v>
      </c>
      <c r="V23" s="70">
        <f t="shared" si="6"/>
        <v>3123.13</v>
      </c>
      <c r="W23" s="70">
        <f t="shared" si="7"/>
        <v>3123.13</v>
      </c>
      <c r="X23" s="44"/>
    </row>
    <row r="24" spans="1:24" ht="14.5" x14ac:dyDescent="0.3">
      <c r="A24" s="79" t="s">
        <v>250</v>
      </c>
      <c r="B24" s="79" t="s">
        <v>234</v>
      </c>
      <c r="C24" s="79" t="s">
        <v>612</v>
      </c>
      <c r="D24" s="106">
        <v>365</v>
      </c>
      <c r="E24" s="104" t="s">
        <v>244</v>
      </c>
      <c r="F24" s="104" t="s">
        <v>624</v>
      </c>
      <c r="G24" s="76" t="s">
        <v>31</v>
      </c>
      <c r="H24" s="76" t="s">
        <v>32</v>
      </c>
      <c r="I24" s="76" t="s">
        <v>33</v>
      </c>
      <c r="J24" s="100" t="s">
        <v>595</v>
      </c>
      <c r="K24" s="100" t="s">
        <v>390</v>
      </c>
      <c r="L24" s="69">
        <v>44487</v>
      </c>
      <c r="M24" s="69">
        <v>44489</v>
      </c>
      <c r="N24" s="70">
        <v>1203.1300000000001</v>
      </c>
      <c r="O24" s="70">
        <v>943.13</v>
      </c>
      <c r="P24" s="70">
        <f t="shared" si="0"/>
        <v>2146.2600000000002</v>
      </c>
      <c r="Q24" s="53">
        <v>3</v>
      </c>
      <c r="R24" s="70">
        <v>120</v>
      </c>
      <c r="S24" s="53">
        <v>0</v>
      </c>
      <c r="T24" s="70">
        <v>0</v>
      </c>
      <c r="U24" s="70">
        <f t="shared" si="5"/>
        <v>360</v>
      </c>
      <c r="V24" s="70">
        <f t="shared" si="6"/>
        <v>2506.2600000000002</v>
      </c>
      <c r="W24" s="70">
        <f t="shared" si="7"/>
        <v>2506.2600000000002</v>
      </c>
      <c r="X24" s="44"/>
    </row>
    <row r="25" spans="1:24" ht="14.5" x14ac:dyDescent="0.3">
      <c r="A25" s="79" t="s">
        <v>250</v>
      </c>
      <c r="B25" s="79" t="s">
        <v>234</v>
      </c>
      <c r="C25" s="79" t="s">
        <v>613</v>
      </c>
      <c r="D25" s="106">
        <v>314</v>
      </c>
      <c r="E25" s="104" t="s">
        <v>534</v>
      </c>
      <c r="F25" s="104" t="s">
        <v>624</v>
      </c>
      <c r="G25" s="76" t="s">
        <v>31</v>
      </c>
      <c r="H25" s="76" t="s">
        <v>32</v>
      </c>
      <c r="I25" s="76" t="s">
        <v>33</v>
      </c>
      <c r="J25" s="100" t="s">
        <v>595</v>
      </c>
      <c r="K25" s="100" t="s">
        <v>390</v>
      </c>
      <c r="L25" s="69">
        <v>44487</v>
      </c>
      <c r="M25" s="69">
        <v>44489</v>
      </c>
      <c r="N25" s="70">
        <f>1069.6/2</f>
        <v>534.79999999999995</v>
      </c>
      <c r="O25" s="70">
        <f>1069.6/2</f>
        <v>534.79999999999995</v>
      </c>
      <c r="P25" s="70">
        <f t="shared" si="0"/>
        <v>1069.5999999999999</v>
      </c>
      <c r="Q25" s="53">
        <v>3</v>
      </c>
      <c r="R25" s="70">
        <v>120</v>
      </c>
      <c r="S25" s="53">
        <v>0</v>
      </c>
      <c r="T25" s="70">
        <v>0</v>
      </c>
      <c r="U25" s="70">
        <f t="shared" si="5"/>
        <v>360</v>
      </c>
      <c r="V25" s="70">
        <f t="shared" si="6"/>
        <v>1429.6</v>
      </c>
      <c r="W25" s="70">
        <f t="shared" si="7"/>
        <v>1429.6</v>
      </c>
      <c r="X25" s="44"/>
    </row>
    <row r="26" spans="1:24" ht="14.5" x14ac:dyDescent="0.3">
      <c r="A26" s="79" t="s">
        <v>250</v>
      </c>
      <c r="B26" s="79" t="s">
        <v>289</v>
      </c>
      <c r="C26" s="79" t="s">
        <v>614</v>
      </c>
      <c r="D26" s="106">
        <v>301</v>
      </c>
      <c r="E26" s="104" t="s">
        <v>620</v>
      </c>
      <c r="F26" s="104" t="s">
        <v>622</v>
      </c>
      <c r="G26" s="76" t="s">
        <v>31</v>
      </c>
      <c r="H26" s="76" t="s">
        <v>32</v>
      </c>
      <c r="I26" s="76" t="s">
        <v>33</v>
      </c>
      <c r="J26" s="100" t="s">
        <v>595</v>
      </c>
      <c r="K26" s="100" t="s">
        <v>390</v>
      </c>
      <c r="L26" s="69">
        <v>44489</v>
      </c>
      <c r="M26" s="69">
        <v>44490</v>
      </c>
      <c r="N26" s="70">
        <f>1626.9/2</f>
        <v>813.45</v>
      </c>
      <c r="O26" s="70">
        <f>1626.9/2</f>
        <v>813.45</v>
      </c>
      <c r="P26" s="70">
        <f t="shared" si="0"/>
        <v>1626.9</v>
      </c>
      <c r="Q26" s="53">
        <v>2</v>
      </c>
      <c r="R26" s="70">
        <v>120</v>
      </c>
      <c r="S26" s="53">
        <v>0</v>
      </c>
      <c r="T26" s="70">
        <v>0</v>
      </c>
      <c r="U26" s="70">
        <f t="shared" si="5"/>
        <v>240</v>
      </c>
      <c r="V26" s="70">
        <f t="shared" si="6"/>
        <v>1866.9</v>
      </c>
      <c r="W26" s="70">
        <f t="shared" si="7"/>
        <v>1866.9</v>
      </c>
      <c r="X26" s="44"/>
    </row>
    <row r="27" spans="1:24" ht="14.5" x14ac:dyDescent="0.3">
      <c r="A27" s="79" t="s">
        <v>250</v>
      </c>
      <c r="B27" s="79" t="s">
        <v>250</v>
      </c>
      <c r="C27" s="79" t="s">
        <v>319</v>
      </c>
      <c r="D27" s="87">
        <v>346</v>
      </c>
      <c r="E27" s="104" t="s">
        <v>87</v>
      </c>
      <c r="F27" s="104" t="s">
        <v>624</v>
      </c>
      <c r="G27" s="76" t="s">
        <v>31</v>
      </c>
      <c r="H27" s="76" t="s">
        <v>32</v>
      </c>
      <c r="I27" s="76" t="s">
        <v>33</v>
      </c>
      <c r="J27" s="104" t="s">
        <v>61</v>
      </c>
      <c r="K27" s="104" t="s">
        <v>62</v>
      </c>
      <c r="L27" s="69">
        <v>44496</v>
      </c>
      <c r="M27" s="69">
        <v>44496</v>
      </c>
      <c r="N27" s="70">
        <f>3241.6/2</f>
        <v>1620.8</v>
      </c>
      <c r="O27" s="70">
        <f>3241.6/2</f>
        <v>1620.8</v>
      </c>
      <c r="P27" s="70">
        <f t="shared" si="0"/>
        <v>3241.6</v>
      </c>
      <c r="Q27" s="53">
        <v>1</v>
      </c>
      <c r="R27" s="70">
        <v>120</v>
      </c>
      <c r="S27" s="53">
        <v>0</v>
      </c>
      <c r="T27" s="70">
        <v>0</v>
      </c>
      <c r="U27" s="70">
        <f t="shared" si="5"/>
        <v>120</v>
      </c>
      <c r="V27" s="70">
        <f t="shared" si="6"/>
        <v>3361.6</v>
      </c>
      <c r="W27" s="70">
        <f t="shared" si="7"/>
        <v>3361.6</v>
      </c>
      <c r="X27" s="44"/>
    </row>
    <row r="28" spans="1:24" ht="14.5" x14ac:dyDescent="0.3">
      <c r="A28" s="79" t="s">
        <v>250</v>
      </c>
      <c r="B28" s="79" t="s">
        <v>322</v>
      </c>
      <c r="C28" s="79" t="s">
        <v>450</v>
      </c>
      <c r="D28" s="47">
        <v>300</v>
      </c>
      <c r="E28" s="105" t="s">
        <v>626</v>
      </c>
      <c r="F28" s="104" t="s">
        <v>625</v>
      </c>
      <c r="G28" s="76" t="s">
        <v>31</v>
      </c>
      <c r="H28" s="76" t="s">
        <v>32</v>
      </c>
      <c r="I28" s="76" t="s">
        <v>33</v>
      </c>
      <c r="J28" s="104" t="s">
        <v>595</v>
      </c>
      <c r="K28" s="104" t="s">
        <v>390</v>
      </c>
      <c r="L28" s="69">
        <v>44467</v>
      </c>
      <c r="M28" s="69">
        <v>44470</v>
      </c>
      <c r="N28" s="70">
        <f>2187.53/2</f>
        <v>1093.7650000000001</v>
      </c>
      <c r="O28" s="70">
        <f>2187.53/2</f>
        <v>1093.7650000000001</v>
      </c>
      <c r="P28" s="70">
        <f t="shared" si="0"/>
        <v>2187.5300000000002</v>
      </c>
      <c r="Q28" s="53">
        <v>1</v>
      </c>
      <c r="R28" s="70">
        <v>120</v>
      </c>
      <c r="S28" s="53">
        <v>0</v>
      </c>
      <c r="T28" s="70">
        <v>0</v>
      </c>
      <c r="U28" s="70">
        <f t="shared" ref="U28" si="8">(Q28*R28)+(S28*T28)</f>
        <v>120</v>
      </c>
      <c r="V28" s="70">
        <f t="shared" ref="V28" si="9">U28+P28</f>
        <v>2307.5300000000002</v>
      </c>
      <c r="W28" s="70">
        <f t="shared" ref="W28" si="10">V28</f>
        <v>2307.5300000000002</v>
      </c>
      <c r="X28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30"/>
  <sheetViews>
    <sheetView topLeftCell="A7" workbookViewId="0">
      <selection activeCell="D21" sqref="D21:E21"/>
    </sheetView>
  </sheetViews>
  <sheetFormatPr defaultRowHeight="15" customHeight="1" x14ac:dyDescent="0.3"/>
  <cols>
    <col min="1" max="1" width="8.582031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6" t="s">
        <v>0</v>
      </c>
      <c r="W5" s="336"/>
      <c r="X5" s="8">
        <v>43009</v>
      </c>
    </row>
    <row r="6" spans="1:24" ht="14" x14ac:dyDescent="0.3">
      <c r="A6" s="337" t="s">
        <v>4</v>
      </c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</row>
    <row r="7" spans="1:24" ht="14" x14ac:dyDescent="0.3">
      <c r="A7" s="337" t="s">
        <v>5</v>
      </c>
      <c r="B7" s="337"/>
      <c r="C7" s="337" t="s">
        <v>6</v>
      </c>
      <c r="D7" s="337"/>
      <c r="E7" s="337"/>
      <c r="F7" s="337" t="s">
        <v>3</v>
      </c>
      <c r="G7" s="337"/>
      <c r="H7" s="337"/>
      <c r="I7" s="337"/>
      <c r="J7" s="337"/>
      <c r="K7" s="337"/>
      <c r="L7" s="337"/>
      <c r="M7" s="337"/>
      <c r="N7" s="337" t="s">
        <v>7</v>
      </c>
      <c r="O7" s="337"/>
      <c r="P7" s="337"/>
      <c r="Q7" s="337" t="s">
        <v>1</v>
      </c>
      <c r="R7" s="337"/>
      <c r="S7" s="337"/>
      <c r="T7" s="337"/>
      <c r="U7" s="337"/>
      <c r="V7" s="337"/>
      <c r="W7" s="337" t="s">
        <v>8</v>
      </c>
      <c r="X7" s="337" t="s">
        <v>9</v>
      </c>
    </row>
    <row r="8" spans="1:24" s="9" customFormat="1" ht="14" x14ac:dyDescent="0.3">
      <c r="A8" s="338" t="s">
        <v>10</v>
      </c>
      <c r="B8" s="338" t="s">
        <v>11</v>
      </c>
      <c r="C8" s="338" t="s">
        <v>12</v>
      </c>
      <c r="D8" s="338" t="s">
        <v>13</v>
      </c>
      <c r="E8" s="338" t="s">
        <v>14</v>
      </c>
      <c r="F8" s="338" t="s">
        <v>15</v>
      </c>
      <c r="G8" s="338" t="s">
        <v>16</v>
      </c>
      <c r="H8" s="338" t="s">
        <v>17</v>
      </c>
      <c r="I8" s="338"/>
      <c r="J8" s="339" t="s">
        <v>18</v>
      </c>
      <c r="K8" s="339"/>
      <c r="L8" s="338" t="s">
        <v>19</v>
      </c>
      <c r="M8" s="338" t="s">
        <v>20</v>
      </c>
      <c r="N8" s="339" t="s">
        <v>21</v>
      </c>
      <c r="O8" s="339" t="s">
        <v>22</v>
      </c>
      <c r="P8" s="339" t="s">
        <v>23</v>
      </c>
      <c r="Q8" s="339" t="s">
        <v>24</v>
      </c>
      <c r="R8" s="339"/>
      <c r="S8" s="339" t="s">
        <v>25</v>
      </c>
      <c r="T8" s="339"/>
      <c r="U8" s="338" t="s">
        <v>26</v>
      </c>
      <c r="V8" s="339" t="s">
        <v>23</v>
      </c>
      <c r="W8" s="337"/>
      <c r="X8" s="337"/>
    </row>
    <row r="9" spans="1:24" s="9" customFormat="1" ht="14" x14ac:dyDescent="0.3">
      <c r="A9" s="338"/>
      <c r="B9" s="338"/>
      <c r="C9" s="338"/>
      <c r="D9" s="338"/>
      <c r="E9" s="338"/>
      <c r="F9" s="338"/>
      <c r="G9" s="338"/>
      <c r="H9" s="10" t="s">
        <v>27</v>
      </c>
      <c r="I9" s="10" t="s">
        <v>28</v>
      </c>
      <c r="J9" s="10" t="s">
        <v>27</v>
      </c>
      <c r="K9" s="11" t="s">
        <v>29</v>
      </c>
      <c r="L9" s="338"/>
      <c r="M9" s="338"/>
      <c r="N9" s="339"/>
      <c r="O9" s="339"/>
      <c r="P9" s="339"/>
      <c r="Q9" s="10" t="s">
        <v>2</v>
      </c>
      <c r="R9" s="11" t="s">
        <v>30</v>
      </c>
      <c r="S9" s="10" t="s">
        <v>2</v>
      </c>
      <c r="T9" s="11" t="s">
        <v>30</v>
      </c>
      <c r="U9" s="338"/>
      <c r="V9" s="339"/>
      <c r="W9" s="337"/>
      <c r="X9" s="337"/>
    </row>
    <row r="10" spans="1:24" ht="25" x14ac:dyDescent="0.3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7.5" x14ac:dyDescent="0.3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" x14ac:dyDescent="0.3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7.5" x14ac:dyDescent="0.3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" x14ac:dyDescent="0.3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" x14ac:dyDescent="0.3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" x14ac:dyDescent="0.3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" x14ac:dyDescent="0.3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7.5" x14ac:dyDescent="0.3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0" x14ac:dyDescent="0.3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" x14ac:dyDescent="0.3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7.5" x14ac:dyDescent="0.3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" x14ac:dyDescent="0.3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" x14ac:dyDescent="0.3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" x14ac:dyDescent="0.3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" x14ac:dyDescent="0.3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" x14ac:dyDescent="0.3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" x14ac:dyDescent="0.3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" x14ac:dyDescent="0.3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" x14ac:dyDescent="0.3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" x14ac:dyDescent="0.3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X11"/>
  <sheetViews>
    <sheetView workbookViewId="0">
      <selection activeCell="D5" sqref="D5:E6"/>
    </sheetView>
  </sheetViews>
  <sheetFormatPr defaultRowHeight="14" x14ac:dyDescent="0.3"/>
  <cols>
    <col min="1" max="1" width="43.5" bestFit="1" customWidth="1"/>
    <col min="2" max="2" width="50.83203125" bestFit="1" customWidth="1"/>
    <col min="3" max="3" width="51.33203125" bestFit="1" customWidth="1"/>
    <col min="4" max="4" width="9" customWidth="1"/>
    <col min="5" max="5" width="47.33203125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92"/>
      <c r="B4" s="392"/>
      <c r="C4" s="392"/>
      <c r="D4" s="392"/>
      <c r="E4" s="392"/>
      <c r="F4" s="392"/>
      <c r="G4" s="392"/>
      <c r="H4" s="10" t="s">
        <v>27</v>
      </c>
      <c r="I4" s="10" t="s">
        <v>28</v>
      </c>
      <c r="J4" s="10" t="s">
        <v>27</v>
      </c>
      <c r="K4" s="11" t="s">
        <v>29</v>
      </c>
      <c r="L4" s="392"/>
      <c r="M4" s="392"/>
      <c r="N4" s="393"/>
      <c r="O4" s="393"/>
      <c r="P4" s="393"/>
      <c r="Q4" s="10" t="s">
        <v>2</v>
      </c>
      <c r="R4" s="11" t="s">
        <v>30</v>
      </c>
      <c r="S4" s="10" t="s">
        <v>2</v>
      </c>
      <c r="T4" s="11" t="s">
        <v>30</v>
      </c>
      <c r="U4" s="392"/>
      <c r="V4" s="393"/>
      <c r="W4" s="394"/>
      <c r="X4" s="391"/>
    </row>
    <row r="5" spans="1:24" ht="14.5" x14ac:dyDescent="0.3">
      <c r="A5" s="79" t="s">
        <v>250</v>
      </c>
      <c r="B5" s="79" t="s">
        <v>258</v>
      </c>
      <c r="C5" s="79" t="s">
        <v>183</v>
      </c>
      <c r="D5" s="87" t="s">
        <v>188</v>
      </c>
      <c r="E5" s="107" t="s">
        <v>388</v>
      </c>
      <c r="F5" s="79" t="s">
        <v>629</v>
      </c>
      <c r="G5" s="76" t="s">
        <v>31</v>
      </c>
      <c r="H5" s="76" t="s">
        <v>32</v>
      </c>
      <c r="I5" s="76" t="s">
        <v>33</v>
      </c>
      <c r="J5" s="107" t="s">
        <v>111</v>
      </c>
      <c r="K5" s="107" t="s">
        <v>627</v>
      </c>
      <c r="L5" s="69">
        <v>44508</v>
      </c>
      <c r="M5" s="69">
        <v>44509</v>
      </c>
      <c r="N5" s="70">
        <f>1920.55/2</f>
        <v>960.27499999999998</v>
      </c>
      <c r="O5" s="70">
        <f>1920.55/2</f>
        <v>960.27499999999998</v>
      </c>
      <c r="P5" s="70">
        <f>SUM(N5:O5)</f>
        <v>1920.55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11" si="0">(Q5*R5)+(S5*T5)</f>
        <v>240</v>
      </c>
      <c r="V5" s="70">
        <f t="shared" ref="V5:V11" si="1">U5+P5</f>
        <v>2160.5500000000002</v>
      </c>
      <c r="W5" s="70">
        <f t="shared" ref="W5:W11" si="2">V5</f>
        <v>2160.5500000000002</v>
      </c>
      <c r="X5" s="53"/>
    </row>
    <row r="6" spans="1:24" ht="14.5" x14ac:dyDescent="0.3">
      <c r="A6" s="79" t="s">
        <v>250</v>
      </c>
      <c r="B6" s="79" t="s">
        <v>250</v>
      </c>
      <c r="C6" s="79" t="s">
        <v>319</v>
      </c>
      <c r="D6" s="87" t="s">
        <v>633</v>
      </c>
      <c r="E6" s="107" t="s">
        <v>87</v>
      </c>
      <c r="F6" s="79" t="s">
        <v>628</v>
      </c>
      <c r="G6" s="76" t="s">
        <v>31</v>
      </c>
      <c r="H6" s="76" t="s">
        <v>32</v>
      </c>
      <c r="I6" s="76" t="s">
        <v>33</v>
      </c>
      <c r="J6" s="107" t="s">
        <v>111</v>
      </c>
      <c r="K6" s="107" t="s">
        <v>627</v>
      </c>
      <c r="L6" s="69">
        <v>44508</v>
      </c>
      <c r="M6" s="69">
        <v>44509</v>
      </c>
      <c r="N6" s="70">
        <f>1920.55/2</f>
        <v>960.27499999999998</v>
      </c>
      <c r="O6" s="70">
        <f>1920.55/2</f>
        <v>960.27499999999998</v>
      </c>
      <c r="P6" s="70">
        <f t="shared" ref="P6:P11" si="3">SUM(N6:O6)</f>
        <v>1920.55</v>
      </c>
      <c r="Q6" s="53">
        <v>2</v>
      </c>
      <c r="R6" s="70">
        <v>120</v>
      </c>
      <c r="S6" s="53">
        <v>0</v>
      </c>
      <c r="T6" s="70">
        <v>0</v>
      </c>
      <c r="U6" s="70">
        <f t="shared" si="0"/>
        <v>240</v>
      </c>
      <c r="V6" s="70">
        <f t="shared" si="1"/>
        <v>2160.5500000000002</v>
      </c>
      <c r="W6" s="70">
        <f t="shared" si="2"/>
        <v>2160.5500000000002</v>
      </c>
      <c r="X6" s="53"/>
    </row>
    <row r="7" spans="1:24" ht="14.5" x14ac:dyDescent="0.3">
      <c r="A7" s="79" t="s">
        <v>250</v>
      </c>
      <c r="B7" s="79" t="s">
        <v>212</v>
      </c>
      <c r="C7" s="79" t="s">
        <v>270</v>
      </c>
      <c r="D7" s="79" t="s">
        <v>173</v>
      </c>
      <c r="E7" s="107" t="s">
        <v>599</v>
      </c>
      <c r="F7" s="79" t="s">
        <v>631</v>
      </c>
      <c r="G7" s="76" t="s">
        <v>31</v>
      </c>
      <c r="H7" s="76" t="s">
        <v>32</v>
      </c>
      <c r="I7" s="76" t="s">
        <v>33</v>
      </c>
      <c r="J7" s="76" t="s">
        <v>32</v>
      </c>
      <c r="K7" s="100" t="s">
        <v>390</v>
      </c>
      <c r="L7" s="69">
        <v>44509</v>
      </c>
      <c r="M7" s="69">
        <v>44511</v>
      </c>
      <c r="N7" s="70">
        <f>1400.68/2</f>
        <v>700.34</v>
      </c>
      <c r="O7" s="70">
        <f>1400.68/2</f>
        <v>700.34</v>
      </c>
      <c r="P7" s="70">
        <f t="shared" si="3"/>
        <v>1400.68</v>
      </c>
      <c r="Q7" s="53">
        <v>3</v>
      </c>
      <c r="R7" s="70">
        <v>120</v>
      </c>
      <c r="S7" s="53">
        <v>0</v>
      </c>
      <c r="T7" s="70">
        <v>0</v>
      </c>
      <c r="U7" s="70">
        <f t="shared" si="0"/>
        <v>360</v>
      </c>
      <c r="V7" s="70">
        <f t="shared" si="1"/>
        <v>1760.68</v>
      </c>
      <c r="W7" s="70">
        <f t="shared" si="2"/>
        <v>1760.68</v>
      </c>
      <c r="X7" s="44"/>
    </row>
    <row r="8" spans="1:24" ht="14.5" x14ac:dyDescent="0.3">
      <c r="A8" s="79" t="s">
        <v>250</v>
      </c>
      <c r="B8" s="79" t="s">
        <v>212</v>
      </c>
      <c r="C8" s="79" t="s">
        <v>378</v>
      </c>
      <c r="D8" s="106">
        <v>347</v>
      </c>
      <c r="E8" s="107" t="s">
        <v>52</v>
      </c>
      <c r="F8" s="79" t="s">
        <v>632</v>
      </c>
      <c r="G8" s="76" t="s">
        <v>31</v>
      </c>
      <c r="H8" s="76" t="s">
        <v>32</v>
      </c>
      <c r="I8" s="76" t="s">
        <v>33</v>
      </c>
      <c r="J8" s="76" t="s">
        <v>32</v>
      </c>
      <c r="K8" s="100" t="s">
        <v>390</v>
      </c>
      <c r="L8" s="69">
        <v>44518</v>
      </c>
      <c r="M8" s="69">
        <v>44519</v>
      </c>
      <c r="N8" s="70">
        <v>1400.68</v>
      </c>
      <c r="O8" s="70">
        <v>943.13</v>
      </c>
      <c r="P8" s="70">
        <f t="shared" si="3"/>
        <v>2343.81</v>
      </c>
      <c r="Q8" s="53">
        <v>2</v>
      </c>
      <c r="R8" s="70">
        <v>120</v>
      </c>
      <c r="S8" s="53">
        <v>0</v>
      </c>
      <c r="T8" s="70">
        <v>0</v>
      </c>
      <c r="U8" s="70">
        <f t="shared" si="0"/>
        <v>240</v>
      </c>
      <c r="V8" s="70">
        <f t="shared" si="1"/>
        <v>2583.81</v>
      </c>
      <c r="W8" s="70">
        <f t="shared" si="2"/>
        <v>2583.81</v>
      </c>
      <c r="X8" s="44"/>
    </row>
    <row r="9" spans="1:24" ht="14.5" x14ac:dyDescent="0.3">
      <c r="A9" s="79" t="s">
        <v>250</v>
      </c>
      <c r="B9" s="79" t="s">
        <v>234</v>
      </c>
      <c r="C9" s="79" t="s">
        <v>576</v>
      </c>
      <c r="D9" s="106">
        <v>285</v>
      </c>
      <c r="E9" s="107" t="s">
        <v>207</v>
      </c>
      <c r="F9" s="79" t="s">
        <v>630</v>
      </c>
      <c r="G9" s="76" t="s">
        <v>31</v>
      </c>
      <c r="H9" s="76" t="s">
        <v>32</v>
      </c>
      <c r="I9" s="76" t="s">
        <v>33</v>
      </c>
      <c r="J9" s="76" t="s">
        <v>32</v>
      </c>
      <c r="K9" s="100" t="s">
        <v>390</v>
      </c>
      <c r="L9" s="69">
        <v>44523</v>
      </c>
      <c r="M9" s="69">
        <v>44524</v>
      </c>
      <c r="N9" s="70">
        <f>2136.77/2</f>
        <v>1068.385</v>
      </c>
      <c r="O9" s="70">
        <f>2136.77/2</f>
        <v>1068.385</v>
      </c>
      <c r="P9" s="70">
        <f t="shared" si="3"/>
        <v>2136.77</v>
      </c>
      <c r="Q9" s="53">
        <v>2</v>
      </c>
      <c r="R9" s="70">
        <v>120</v>
      </c>
      <c r="S9" s="53">
        <v>0</v>
      </c>
      <c r="T9" s="70">
        <v>0</v>
      </c>
      <c r="U9" s="70">
        <f t="shared" si="0"/>
        <v>240</v>
      </c>
      <c r="V9" s="70">
        <f t="shared" si="1"/>
        <v>2376.77</v>
      </c>
      <c r="W9" s="70">
        <f t="shared" si="2"/>
        <v>2376.77</v>
      </c>
      <c r="X9" s="44"/>
    </row>
    <row r="10" spans="1:24" ht="14.5" x14ac:dyDescent="0.3">
      <c r="A10" s="79" t="s">
        <v>250</v>
      </c>
      <c r="B10" s="79" t="s">
        <v>234</v>
      </c>
      <c r="C10" s="79" t="s">
        <v>613</v>
      </c>
      <c r="D10" s="106">
        <v>314</v>
      </c>
      <c r="E10" s="107" t="s">
        <v>534</v>
      </c>
      <c r="F10" s="79" t="s">
        <v>630</v>
      </c>
      <c r="G10" s="76" t="s">
        <v>31</v>
      </c>
      <c r="H10" s="76" t="s">
        <v>32</v>
      </c>
      <c r="I10" s="76" t="s">
        <v>33</v>
      </c>
      <c r="J10" s="76" t="s">
        <v>32</v>
      </c>
      <c r="K10" s="100" t="s">
        <v>390</v>
      </c>
      <c r="L10" s="69">
        <v>44523</v>
      </c>
      <c r="M10" s="69">
        <v>44524</v>
      </c>
      <c r="N10" s="70">
        <v>1096.08</v>
      </c>
      <c r="O10" s="70">
        <v>1405.09</v>
      </c>
      <c r="P10" s="70">
        <f t="shared" si="3"/>
        <v>2501.17</v>
      </c>
      <c r="Q10" s="53">
        <v>2</v>
      </c>
      <c r="R10" s="70">
        <v>120</v>
      </c>
      <c r="S10" s="53">
        <v>0</v>
      </c>
      <c r="T10" s="70">
        <v>0</v>
      </c>
      <c r="U10" s="70">
        <f t="shared" si="0"/>
        <v>240</v>
      </c>
      <c r="V10" s="70">
        <f t="shared" si="1"/>
        <v>2741.17</v>
      </c>
      <c r="W10" s="70">
        <f t="shared" si="2"/>
        <v>2741.17</v>
      </c>
      <c r="X10" s="44"/>
    </row>
    <row r="11" spans="1:24" ht="14.5" x14ac:dyDescent="0.3">
      <c r="A11" s="79" t="s">
        <v>250</v>
      </c>
      <c r="B11" s="79" t="s">
        <v>234</v>
      </c>
      <c r="C11" s="79" t="s">
        <v>612</v>
      </c>
      <c r="D11" s="47">
        <v>365</v>
      </c>
      <c r="E11" s="107" t="s">
        <v>244</v>
      </c>
      <c r="F11" s="79" t="s">
        <v>630</v>
      </c>
      <c r="G11" s="76" t="s">
        <v>31</v>
      </c>
      <c r="H11" s="76" t="s">
        <v>32</v>
      </c>
      <c r="I11" s="76" t="s">
        <v>33</v>
      </c>
      <c r="J11" s="76" t="s">
        <v>32</v>
      </c>
      <c r="K11" s="100" t="s">
        <v>390</v>
      </c>
      <c r="L11" s="69">
        <v>44523</v>
      </c>
      <c r="M11" s="69">
        <v>44524</v>
      </c>
      <c r="N11" s="70">
        <v>1096.08</v>
      </c>
      <c r="O11" s="70">
        <v>1405.09</v>
      </c>
      <c r="P11" s="70">
        <f t="shared" si="3"/>
        <v>2501.17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0"/>
        <v>240</v>
      </c>
      <c r="V11" s="70">
        <f t="shared" si="1"/>
        <v>2741.17</v>
      </c>
      <c r="W11" s="70">
        <f t="shared" si="2"/>
        <v>2741.17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X8"/>
  <sheetViews>
    <sheetView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bestFit="1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92"/>
      <c r="B4" s="392"/>
      <c r="C4" s="392"/>
      <c r="D4" s="392"/>
      <c r="E4" s="392"/>
      <c r="F4" s="392"/>
      <c r="G4" s="392"/>
      <c r="H4" s="10" t="s">
        <v>27</v>
      </c>
      <c r="I4" s="10" t="s">
        <v>28</v>
      </c>
      <c r="J4" s="10" t="s">
        <v>27</v>
      </c>
      <c r="K4" s="11" t="s">
        <v>29</v>
      </c>
      <c r="L4" s="392"/>
      <c r="M4" s="392"/>
      <c r="N4" s="393"/>
      <c r="O4" s="393"/>
      <c r="P4" s="393"/>
      <c r="Q4" s="10" t="s">
        <v>2</v>
      </c>
      <c r="R4" s="11" t="s">
        <v>30</v>
      </c>
      <c r="S4" s="10" t="s">
        <v>2</v>
      </c>
      <c r="T4" s="11" t="s">
        <v>30</v>
      </c>
      <c r="U4" s="392"/>
      <c r="V4" s="393"/>
      <c r="W4" s="394"/>
      <c r="X4" s="391"/>
    </row>
    <row r="5" spans="1:24" ht="42" x14ac:dyDescent="0.3">
      <c r="A5" s="94" t="s">
        <v>250</v>
      </c>
      <c r="B5" s="94" t="s">
        <v>258</v>
      </c>
      <c r="C5" s="94" t="s">
        <v>183</v>
      </c>
      <c r="D5" s="94">
        <v>119</v>
      </c>
      <c r="E5" s="94" t="s">
        <v>388</v>
      </c>
      <c r="F5" s="108" t="s">
        <v>634</v>
      </c>
      <c r="G5" s="94" t="s">
        <v>31</v>
      </c>
      <c r="H5" s="94" t="s">
        <v>32</v>
      </c>
      <c r="I5" s="94" t="s">
        <v>33</v>
      </c>
      <c r="J5" s="94" t="s">
        <v>595</v>
      </c>
      <c r="K5" s="94" t="s">
        <v>390</v>
      </c>
      <c r="L5" s="69">
        <v>44542</v>
      </c>
      <c r="M5" s="69">
        <v>44547</v>
      </c>
      <c r="N5" s="70">
        <f>570.26/2</f>
        <v>285.13</v>
      </c>
      <c r="O5" s="70">
        <f>570.26/2</f>
        <v>285.13</v>
      </c>
      <c r="P5" s="70">
        <f>SUM(N5:O5)</f>
        <v>570.26</v>
      </c>
      <c r="Q5" s="53">
        <v>6</v>
      </c>
      <c r="R5" s="70">
        <v>120</v>
      </c>
      <c r="S5" s="53">
        <v>0</v>
      </c>
      <c r="T5" s="70">
        <v>0</v>
      </c>
      <c r="U5" s="70">
        <f t="shared" ref="U5:U8" si="0">(Q5*R5)+(S5*T5)</f>
        <v>720</v>
      </c>
      <c r="V5" s="70">
        <f t="shared" ref="V5:V8" si="1">U5+P5</f>
        <v>1290.26</v>
      </c>
      <c r="W5" s="70">
        <f t="shared" ref="W5:W8" si="2">V5</f>
        <v>1290.26</v>
      </c>
      <c r="X5" s="53"/>
    </row>
    <row r="6" spans="1:24" x14ac:dyDescent="0.3">
      <c r="A6" s="94" t="s">
        <v>250</v>
      </c>
      <c r="B6" s="94" t="s">
        <v>258</v>
      </c>
      <c r="C6" s="94" t="s">
        <v>609</v>
      </c>
      <c r="D6" s="94">
        <v>372</v>
      </c>
      <c r="E6" s="94" t="s">
        <v>617</v>
      </c>
      <c r="F6" s="94" t="s">
        <v>635</v>
      </c>
      <c r="G6" s="94" t="s">
        <v>31</v>
      </c>
      <c r="H6" s="94" t="s">
        <v>32</v>
      </c>
      <c r="I6" s="94" t="s">
        <v>33</v>
      </c>
      <c r="J6" s="94" t="s">
        <v>595</v>
      </c>
      <c r="K6" s="94" t="s">
        <v>390</v>
      </c>
      <c r="L6" s="69">
        <v>44544</v>
      </c>
      <c r="M6" s="69">
        <v>44547</v>
      </c>
      <c r="N6" s="70">
        <f>892.26/2</f>
        <v>446.13</v>
      </c>
      <c r="O6" s="70">
        <f>892.26/2</f>
        <v>446.13</v>
      </c>
      <c r="P6" s="70">
        <f t="shared" ref="P6:P8" si="3">SUM(N6:O6)</f>
        <v>892.26</v>
      </c>
      <c r="Q6" s="53">
        <v>4</v>
      </c>
      <c r="R6" s="70">
        <v>120</v>
      </c>
      <c r="S6" s="53">
        <v>0</v>
      </c>
      <c r="T6" s="70">
        <v>0</v>
      </c>
      <c r="U6" s="70">
        <f t="shared" si="0"/>
        <v>480</v>
      </c>
      <c r="V6" s="70">
        <f t="shared" si="1"/>
        <v>1372.26</v>
      </c>
      <c r="W6" s="70">
        <f t="shared" si="2"/>
        <v>1372.26</v>
      </c>
      <c r="X6" s="53"/>
    </row>
    <row r="7" spans="1:24" x14ac:dyDescent="0.3">
      <c r="A7" s="94" t="s">
        <v>250</v>
      </c>
      <c r="B7" s="94" t="s">
        <v>289</v>
      </c>
      <c r="C7" s="94" t="s">
        <v>636</v>
      </c>
      <c r="D7" s="94">
        <v>78</v>
      </c>
      <c r="E7" s="94" t="s">
        <v>127</v>
      </c>
      <c r="F7" s="94" t="s">
        <v>637</v>
      </c>
      <c r="G7" s="94" t="s">
        <v>31</v>
      </c>
      <c r="H7" s="94" t="s">
        <v>32</v>
      </c>
      <c r="I7" s="94" t="s">
        <v>33</v>
      </c>
      <c r="J7" s="94" t="s">
        <v>595</v>
      </c>
      <c r="K7" s="94" t="s">
        <v>390</v>
      </c>
      <c r="L7" s="69">
        <v>44518</v>
      </c>
      <c r="M7" s="69">
        <v>44537</v>
      </c>
      <c r="N7" s="70">
        <f>1096.08/2</f>
        <v>548.04</v>
      </c>
      <c r="O7" s="70">
        <f>1096.08/2</f>
        <v>548.04</v>
      </c>
      <c r="P7" s="70">
        <f t="shared" si="3"/>
        <v>1096.08</v>
      </c>
      <c r="Q7" s="53">
        <v>20</v>
      </c>
      <c r="R7" s="70">
        <v>120</v>
      </c>
      <c r="S7" s="53">
        <v>0</v>
      </c>
      <c r="T7" s="70">
        <v>0</v>
      </c>
      <c r="U7" s="70">
        <f t="shared" si="0"/>
        <v>2400</v>
      </c>
      <c r="V7" s="70">
        <f t="shared" si="1"/>
        <v>3496.08</v>
      </c>
      <c r="W7" s="70">
        <f t="shared" si="2"/>
        <v>3496.08</v>
      </c>
      <c r="X7" s="109"/>
    </row>
    <row r="8" spans="1:24" x14ac:dyDescent="0.3">
      <c r="A8" s="94" t="s">
        <v>250</v>
      </c>
      <c r="B8" s="94" t="s">
        <v>289</v>
      </c>
      <c r="C8" s="94" t="s">
        <v>450</v>
      </c>
      <c r="D8" s="94">
        <v>314</v>
      </c>
      <c r="E8" s="94" t="s">
        <v>534</v>
      </c>
      <c r="F8" s="94" t="s">
        <v>638</v>
      </c>
      <c r="G8" s="94" t="s">
        <v>31</v>
      </c>
      <c r="H8" s="94" t="s">
        <v>32</v>
      </c>
      <c r="I8" s="94" t="s">
        <v>33</v>
      </c>
      <c r="J8" s="94" t="s">
        <v>595</v>
      </c>
      <c r="K8" s="94" t="s">
        <v>390</v>
      </c>
      <c r="L8" s="69">
        <v>44519</v>
      </c>
      <c r="M8" s="69">
        <v>44537</v>
      </c>
      <c r="N8" s="70">
        <f>1405.09/2</f>
        <v>702.54499999999996</v>
      </c>
      <c r="O8" s="70">
        <f>1405.09/2</f>
        <v>702.54499999999996</v>
      </c>
      <c r="P8" s="70">
        <f t="shared" si="3"/>
        <v>1405.09</v>
      </c>
      <c r="Q8" s="53">
        <v>0</v>
      </c>
      <c r="R8" s="70">
        <v>0</v>
      </c>
      <c r="S8" s="53">
        <v>0</v>
      </c>
      <c r="T8" s="70">
        <v>0</v>
      </c>
      <c r="U8" s="70">
        <f t="shared" si="0"/>
        <v>0</v>
      </c>
      <c r="V8" s="70">
        <f t="shared" si="1"/>
        <v>1405.09</v>
      </c>
      <c r="W8" s="70">
        <f t="shared" si="2"/>
        <v>1405.09</v>
      </c>
      <c r="X8" s="10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X5"/>
  <sheetViews>
    <sheetView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bestFit="1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92"/>
      <c r="B4" s="392"/>
      <c r="C4" s="392"/>
      <c r="D4" s="392"/>
      <c r="E4" s="392"/>
      <c r="F4" s="392"/>
      <c r="G4" s="392"/>
      <c r="H4" s="10" t="s">
        <v>27</v>
      </c>
      <c r="I4" s="10" t="s">
        <v>28</v>
      </c>
      <c r="J4" s="10" t="s">
        <v>27</v>
      </c>
      <c r="K4" s="11" t="s">
        <v>29</v>
      </c>
      <c r="L4" s="392"/>
      <c r="M4" s="392"/>
      <c r="N4" s="393"/>
      <c r="O4" s="393"/>
      <c r="P4" s="393"/>
      <c r="Q4" s="10" t="s">
        <v>2</v>
      </c>
      <c r="R4" s="11" t="s">
        <v>30</v>
      </c>
      <c r="S4" s="10" t="s">
        <v>2</v>
      </c>
      <c r="T4" s="11" t="s">
        <v>30</v>
      </c>
      <c r="U4" s="392"/>
      <c r="V4" s="393"/>
      <c r="W4" s="394"/>
      <c r="X4" s="391"/>
    </row>
    <row r="5" spans="1:24" ht="14.5" x14ac:dyDescent="0.3">
      <c r="A5" s="79" t="s">
        <v>250</v>
      </c>
      <c r="B5" s="79" t="s">
        <v>212</v>
      </c>
      <c r="C5" s="79" t="s">
        <v>378</v>
      </c>
      <c r="D5" s="47">
        <v>347</v>
      </c>
      <c r="E5" s="107" t="s">
        <v>52</v>
      </c>
      <c r="F5" s="79" t="s">
        <v>639</v>
      </c>
      <c r="G5" s="76" t="s">
        <v>31</v>
      </c>
      <c r="H5" s="76" t="s">
        <v>32</v>
      </c>
      <c r="I5" s="76" t="s">
        <v>33</v>
      </c>
      <c r="J5" s="76" t="s">
        <v>32</v>
      </c>
      <c r="K5" s="100" t="s">
        <v>390</v>
      </c>
      <c r="L5" s="69">
        <v>44584</v>
      </c>
      <c r="M5" s="69">
        <v>44586</v>
      </c>
      <c r="N5" s="70">
        <f>3620.5/2</f>
        <v>1810.25</v>
      </c>
      <c r="O5" s="70">
        <f>3620.5/2</f>
        <v>1810.25</v>
      </c>
      <c r="P5" s="70">
        <f>SUM(N5:O5)</f>
        <v>3620.5</v>
      </c>
      <c r="Q5" s="53">
        <v>3</v>
      </c>
      <c r="R5" s="70">
        <v>120</v>
      </c>
      <c r="S5" s="53">
        <v>0</v>
      </c>
      <c r="T5" s="70">
        <v>0</v>
      </c>
      <c r="U5" s="70">
        <f t="shared" ref="U5" si="0">(Q5*R5)+(S5*T5)</f>
        <v>360</v>
      </c>
      <c r="V5" s="70">
        <f t="shared" ref="V5" si="1">U5+P5</f>
        <v>3980.5</v>
      </c>
      <c r="W5" s="70">
        <f t="shared" ref="W5" si="2">V5</f>
        <v>3980.5</v>
      </c>
      <c r="X5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X5"/>
  <sheetViews>
    <sheetView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bestFit="1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92"/>
      <c r="B4" s="392"/>
      <c r="C4" s="392"/>
      <c r="D4" s="392"/>
      <c r="E4" s="392"/>
      <c r="F4" s="392"/>
      <c r="G4" s="392"/>
      <c r="H4" s="10" t="s">
        <v>27</v>
      </c>
      <c r="I4" s="10" t="s">
        <v>28</v>
      </c>
      <c r="J4" s="10" t="s">
        <v>27</v>
      </c>
      <c r="K4" s="11" t="s">
        <v>29</v>
      </c>
      <c r="L4" s="392"/>
      <c r="M4" s="392"/>
      <c r="N4" s="393"/>
      <c r="O4" s="393"/>
      <c r="P4" s="393"/>
      <c r="Q4" s="10" t="s">
        <v>2</v>
      </c>
      <c r="R4" s="11" t="s">
        <v>30</v>
      </c>
      <c r="S4" s="10" t="s">
        <v>2</v>
      </c>
      <c r="T4" s="11" t="s">
        <v>30</v>
      </c>
      <c r="U4" s="392"/>
      <c r="V4" s="393"/>
      <c r="W4" s="394"/>
      <c r="X4" s="391"/>
    </row>
    <row r="5" spans="1:24" ht="14.5" x14ac:dyDescent="0.3">
      <c r="A5" s="79" t="s">
        <v>250</v>
      </c>
      <c r="B5" s="79" t="s">
        <v>212</v>
      </c>
      <c r="C5" s="79" t="s">
        <v>378</v>
      </c>
      <c r="D5" s="47">
        <v>347</v>
      </c>
      <c r="E5" s="107" t="s">
        <v>52</v>
      </c>
      <c r="F5" s="79" t="s">
        <v>640</v>
      </c>
      <c r="G5" s="76" t="s">
        <v>31</v>
      </c>
      <c r="H5" s="76" t="s">
        <v>32</v>
      </c>
      <c r="I5" s="76" t="s">
        <v>33</v>
      </c>
      <c r="J5" s="76" t="s">
        <v>32</v>
      </c>
      <c r="K5" s="100" t="s">
        <v>390</v>
      </c>
      <c r="L5" s="69">
        <v>44605</v>
      </c>
      <c r="M5" s="69">
        <v>44608</v>
      </c>
      <c r="N5" s="70">
        <f>2846.92/2</f>
        <v>1423.46</v>
      </c>
      <c r="O5" s="70">
        <f>2846.92/2</f>
        <v>1423.46</v>
      </c>
      <c r="P5" s="70">
        <f>SUM(N5:O5)</f>
        <v>2846.92</v>
      </c>
      <c r="Q5" s="53">
        <v>4</v>
      </c>
      <c r="R5" s="70">
        <v>120</v>
      </c>
      <c r="S5" s="53">
        <v>0</v>
      </c>
      <c r="T5" s="70">
        <v>0</v>
      </c>
      <c r="U5" s="70">
        <f t="shared" ref="U5" si="0">(Q5*R5)+(S5*T5)</f>
        <v>480</v>
      </c>
      <c r="V5" s="70">
        <f t="shared" ref="V5" si="1">U5+P5</f>
        <v>3326.92</v>
      </c>
      <c r="W5" s="70">
        <f t="shared" ref="W5" si="2">V5</f>
        <v>3326.92</v>
      </c>
      <c r="X5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X7"/>
  <sheetViews>
    <sheetView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bestFit="1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92"/>
      <c r="B4" s="392"/>
      <c r="C4" s="392"/>
      <c r="D4" s="392"/>
      <c r="E4" s="392"/>
      <c r="F4" s="392"/>
      <c r="G4" s="392"/>
      <c r="H4" s="10" t="s">
        <v>27</v>
      </c>
      <c r="I4" s="10" t="s">
        <v>28</v>
      </c>
      <c r="J4" s="10" t="s">
        <v>27</v>
      </c>
      <c r="K4" s="11" t="s">
        <v>29</v>
      </c>
      <c r="L4" s="392"/>
      <c r="M4" s="392"/>
      <c r="N4" s="393"/>
      <c r="O4" s="393"/>
      <c r="P4" s="393"/>
      <c r="Q4" s="10" t="s">
        <v>2</v>
      </c>
      <c r="R4" s="11" t="s">
        <v>30</v>
      </c>
      <c r="S4" s="10" t="s">
        <v>2</v>
      </c>
      <c r="T4" s="11" t="s">
        <v>30</v>
      </c>
      <c r="U4" s="392"/>
      <c r="V4" s="393"/>
      <c r="W4" s="394"/>
      <c r="X4" s="391"/>
    </row>
    <row r="5" spans="1:24" ht="14.5" x14ac:dyDescent="0.3">
      <c r="A5" s="110" t="s">
        <v>597</v>
      </c>
      <c r="B5" s="110" t="s">
        <v>597</v>
      </c>
      <c r="C5" s="110" t="s">
        <v>412</v>
      </c>
      <c r="D5" s="47">
        <v>0</v>
      </c>
      <c r="E5" s="110" t="s">
        <v>561</v>
      </c>
      <c r="F5" s="110" t="s">
        <v>346</v>
      </c>
      <c r="G5" s="76" t="s">
        <v>31</v>
      </c>
      <c r="H5" s="76" t="s">
        <v>32</v>
      </c>
      <c r="I5" s="76" t="s">
        <v>33</v>
      </c>
      <c r="J5" s="110" t="s">
        <v>106</v>
      </c>
      <c r="K5" s="100" t="s">
        <v>107</v>
      </c>
      <c r="L5" s="69">
        <v>44643</v>
      </c>
      <c r="M5" s="69">
        <v>44647</v>
      </c>
      <c r="N5" s="70">
        <f>987.45/2</f>
        <v>493.72500000000002</v>
      </c>
      <c r="O5" s="70">
        <f>987.45/2</f>
        <v>493.72500000000002</v>
      </c>
      <c r="P5" s="70">
        <f>SUM(N5:O5)</f>
        <v>987.45</v>
      </c>
      <c r="Q5" s="53"/>
      <c r="R5" s="70"/>
      <c r="S5" s="53">
        <v>0</v>
      </c>
      <c r="T5" s="70">
        <v>0</v>
      </c>
      <c r="U5" s="70">
        <f t="shared" ref="U5" si="0">(Q5*R5)+(S5*T5)</f>
        <v>0</v>
      </c>
      <c r="V5" s="70">
        <f t="shared" ref="V5" si="1">U5+P5</f>
        <v>987.45</v>
      </c>
      <c r="W5" s="70">
        <f t="shared" ref="W5" si="2">V5</f>
        <v>987.45</v>
      </c>
      <c r="X5" s="53"/>
    </row>
    <row r="6" spans="1:24" ht="14.5" x14ac:dyDescent="0.3">
      <c r="A6" s="110" t="s">
        <v>597</v>
      </c>
      <c r="B6" s="110" t="s">
        <v>301</v>
      </c>
      <c r="C6" s="110" t="s">
        <v>608</v>
      </c>
      <c r="D6" s="47">
        <v>355</v>
      </c>
      <c r="E6" s="110" t="s">
        <v>313</v>
      </c>
      <c r="F6" s="110" t="s">
        <v>346</v>
      </c>
      <c r="G6" s="76" t="s">
        <v>31</v>
      </c>
      <c r="H6" s="76" t="s">
        <v>32</v>
      </c>
      <c r="I6" s="76" t="s">
        <v>33</v>
      </c>
      <c r="J6" s="110" t="s">
        <v>106</v>
      </c>
      <c r="K6" s="100" t="s">
        <v>107</v>
      </c>
      <c r="L6" s="69">
        <v>44643</v>
      </c>
      <c r="M6" s="69">
        <v>44647</v>
      </c>
      <c r="N6" s="70">
        <f>2876.93/2</f>
        <v>1438.4649999999999</v>
      </c>
      <c r="O6" s="70">
        <f>2876.93/2</f>
        <v>1438.4649999999999</v>
      </c>
      <c r="P6" s="70">
        <f>SUM(N6:O6)</f>
        <v>2876.93</v>
      </c>
      <c r="Q6" s="53">
        <v>5</v>
      </c>
      <c r="R6" s="70">
        <v>120</v>
      </c>
      <c r="S6" s="53">
        <v>0</v>
      </c>
      <c r="T6" s="70">
        <v>0</v>
      </c>
      <c r="U6" s="70">
        <f t="shared" ref="U6" si="3">(Q6*R6)+(S6*T6)</f>
        <v>600</v>
      </c>
      <c r="V6" s="70">
        <f t="shared" ref="V6" si="4">U6+P6</f>
        <v>3476.93</v>
      </c>
      <c r="W6" s="70">
        <f t="shared" ref="W6" si="5">V6</f>
        <v>3476.93</v>
      </c>
      <c r="X6" s="53"/>
    </row>
    <row r="7" spans="1:24" ht="14.5" x14ac:dyDescent="0.3">
      <c r="A7" s="110" t="s">
        <v>250</v>
      </c>
      <c r="B7" s="110" t="s">
        <v>289</v>
      </c>
      <c r="C7" s="110" t="s">
        <v>636</v>
      </c>
      <c r="D7" s="47">
        <v>78</v>
      </c>
      <c r="E7" s="110" t="s">
        <v>127</v>
      </c>
      <c r="F7" s="110" t="s">
        <v>641</v>
      </c>
      <c r="G7" s="76" t="s">
        <v>31</v>
      </c>
      <c r="H7" s="76" t="s">
        <v>32</v>
      </c>
      <c r="I7" s="76" t="s">
        <v>33</v>
      </c>
      <c r="J7" s="110" t="s">
        <v>32</v>
      </c>
      <c r="K7" s="110" t="s">
        <v>390</v>
      </c>
      <c r="L7" s="69">
        <v>44610</v>
      </c>
      <c r="M7" s="69">
        <v>44623</v>
      </c>
      <c r="N7" s="70">
        <f>2980.92/2</f>
        <v>1490.46</v>
      </c>
      <c r="O7" s="70">
        <f>2980.92/2</f>
        <v>1490.46</v>
      </c>
      <c r="P7" s="70">
        <f>SUM(N7:O7)</f>
        <v>2980.92</v>
      </c>
      <c r="Q7" s="53">
        <v>14</v>
      </c>
      <c r="R7" s="70">
        <v>120</v>
      </c>
      <c r="S7" s="53">
        <v>0</v>
      </c>
      <c r="T7" s="70">
        <v>0</v>
      </c>
      <c r="U7" s="70">
        <f t="shared" ref="U7" si="6">(Q7*R7)+(S7*T7)</f>
        <v>1680</v>
      </c>
      <c r="V7" s="70">
        <f t="shared" ref="V7" si="7">U7+P7</f>
        <v>4660.92</v>
      </c>
      <c r="W7" s="70">
        <f t="shared" ref="W7" si="8">V7</f>
        <v>4660.92</v>
      </c>
      <c r="X7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X29"/>
  <sheetViews>
    <sheetView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92"/>
      <c r="B4" s="392"/>
      <c r="C4" s="392"/>
      <c r="D4" s="392"/>
      <c r="E4" s="392"/>
      <c r="F4" s="392"/>
      <c r="G4" s="392"/>
      <c r="H4" s="10" t="s">
        <v>27</v>
      </c>
      <c r="I4" s="10" t="s">
        <v>28</v>
      </c>
      <c r="J4" s="10" t="s">
        <v>27</v>
      </c>
      <c r="K4" s="11" t="s">
        <v>29</v>
      </c>
      <c r="L4" s="392"/>
      <c r="M4" s="392"/>
      <c r="N4" s="393"/>
      <c r="O4" s="393"/>
      <c r="P4" s="393"/>
      <c r="Q4" s="10" t="s">
        <v>2</v>
      </c>
      <c r="R4" s="11" t="s">
        <v>30</v>
      </c>
      <c r="S4" s="10" t="s">
        <v>2</v>
      </c>
      <c r="T4" s="11" t="s">
        <v>30</v>
      </c>
      <c r="U4" s="392"/>
      <c r="V4" s="393"/>
      <c r="W4" s="394"/>
      <c r="X4" s="391"/>
    </row>
    <row r="5" spans="1:24" ht="14.5" x14ac:dyDescent="0.3">
      <c r="A5" s="110" t="s">
        <v>250</v>
      </c>
      <c r="B5" s="110" t="s">
        <v>289</v>
      </c>
      <c r="C5" s="110" t="s">
        <v>642</v>
      </c>
      <c r="D5" s="47">
        <v>252</v>
      </c>
      <c r="E5" s="111" t="s">
        <v>127</v>
      </c>
      <c r="F5" s="111" t="s">
        <v>643</v>
      </c>
      <c r="G5" s="76" t="s">
        <v>31</v>
      </c>
      <c r="H5" s="76" t="s">
        <v>32</v>
      </c>
      <c r="I5" s="76" t="s">
        <v>33</v>
      </c>
      <c r="J5" s="111" t="s">
        <v>32</v>
      </c>
      <c r="K5" s="111" t="s">
        <v>390</v>
      </c>
      <c r="L5" s="69">
        <v>44659</v>
      </c>
      <c r="M5" s="69">
        <v>44677</v>
      </c>
      <c r="N5" s="70">
        <v>2980.92</v>
      </c>
      <c r="O5" s="70">
        <v>1405.09</v>
      </c>
      <c r="P5" s="70">
        <f>SUM(N5:O5)</f>
        <v>4386.01</v>
      </c>
      <c r="Q5" s="53"/>
      <c r="R5" s="70"/>
      <c r="S5" s="53">
        <v>0</v>
      </c>
      <c r="T5" s="70">
        <v>0</v>
      </c>
      <c r="U5" s="70">
        <f t="shared" ref="U5:U29" si="0">(Q5*R5)+(S5*T5)</f>
        <v>0</v>
      </c>
      <c r="V5" s="70">
        <f t="shared" ref="V5:V7" si="1">U5+P5</f>
        <v>4386.01</v>
      </c>
      <c r="W5" s="70">
        <f t="shared" ref="W5:W7" si="2">V5</f>
        <v>4386.01</v>
      </c>
      <c r="X5" s="53"/>
    </row>
    <row r="6" spans="1:24" ht="14.5" x14ac:dyDescent="0.3">
      <c r="A6" s="110" t="s">
        <v>372</v>
      </c>
      <c r="B6" s="110" t="s">
        <v>372</v>
      </c>
      <c r="C6" s="110" t="s">
        <v>75</v>
      </c>
      <c r="D6" s="47">
        <v>0</v>
      </c>
      <c r="E6" s="111" t="s">
        <v>88</v>
      </c>
      <c r="F6" s="110" t="s">
        <v>644</v>
      </c>
      <c r="G6" s="76" t="s">
        <v>31</v>
      </c>
      <c r="H6" s="76" t="s">
        <v>32</v>
      </c>
      <c r="I6" s="76" t="s">
        <v>33</v>
      </c>
      <c r="J6" s="111" t="s">
        <v>32</v>
      </c>
      <c r="K6" s="111" t="s">
        <v>255</v>
      </c>
      <c r="L6" s="69">
        <v>44658</v>
      </c>
      <c r="M6" s="69">
        <v>44659</v>
      </c>
      <c r="N6" s="70">
        <v>0</v>
      </c>
      <c r="O6" s="70">
        <v>0</v>
      </c>
      <c r="P6" s="70">
        <f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si="0"/>
        <v>0</v>
      </c>
      <c r="V6" s="70">
        <f t="shared" si="1"/>
        <v>0</v>
      </c>
      <c r="W6" s="70">
        <f t="shared" si="2"/>
        <v>0</v>
      </c>
      <c r="X6" s="53"/>
    </row>
    <row r="7" spans="1:24" ht="14.5" x14ac:dyDescent="0.3">
      <c r="A7" s="110" t="s">
        <v>372</v>
      </c>
      <c r="B7" s="110" t="s">
        <v>372</v>
      </c>
      <c r="C7" s="110" t="s">
        <v>611</v>
      </c>
      <c r="D7" s="47">
        <v>57</v>
      </c>
      <c r="E7" s="111" t="s">
        <v>619</v>
      </c>
      <c r="F7" s="110" t="s">
        <v>644</v>
      </c>
      <c r="G7" s="76" t="s">
        <v>31</v>
      </c>
      <c r="H7" s="76" t="s">
        <v>32</v>
      </c>
      <c r="I7" s="76" t="s">
        <v>33</v>
      </c>
      <c r="J7" s="111" t="s">
        <v>32</v>
      </c>
      <c r="K7" s="111" t="s">
        <v>255</v>
      </c>
      <c r="L7" s="69">
        <v>44658</v>
      </c>
      <c r="M7" s="69">
        <v>44659</v>
      </c>
      <c r="N7" s="70">
        <v>0</v>
      </c>
      <c r="O7" s="70">
        <v>0</v>
      </c>
      <c r="P7" s="70">
        <f t="shared" ref="P7:P29" si="3">SUM(N7:O7)</f>
        <v>0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240</v>
      </c>
      <c r="W7" s="70">
        <f t="shared" si="2"/>
        <v>240</v>
      </c>
      <c r="X7" s="53"/>
    </row>
    <row r="8" spans="1:24" ht="14.5" x14ac:dyDescent="0.3">
      <c r="A8" s="110" t="s">
        <v>229</v>
      </c>
      <c r="B8" s="110" t="s">
        <v>362</v>
      </c>
      <c r="C8" s="110" t="s">
        <v>361</v>
      </c>
      <c r="D8" s="47">
        <v>23</v>
      </c>
      <c r="E8" s="111" t="s">
        <v>621</v>
      </c>
      <c r="F8" s="110" t="s">
        <v>644</v>
      </c>
      <c r="G8" s="76" t="s">
        <v>31</v>
      </c>
      <c r="H8" s="76" t="s">
        <v>32</v>
      </c>
      <c r="I8" s="76" t="s">
        <v>33</v>
      </c>
      <c r="J8" s="111" t="s">
        <v>32</v>
      </c>
      <c r="K8" s="111" t="s">
        <v>255</v>
      </c>
      <c r="L8" s="69">
        <v>44658</v>
      </c>
      <c r="M8" s="69">
        <v>44659</v>
      </c>
      <c r="N8" s="70">
        <v>0</v>
      </c>
      <c r="O8" s="70">
        <v>0</v>
      </c>
      <c r="P8" s="70">
        <f t="shared" si="3"/>
        <v>0</v>
      </c>
      <c r="Q8" s="53">
        <v>2</v>
      </c>
      <c r="R8" s="70">
        <v>120</v>
      </c>
      <c r="S8" s="53">
        <v>0</v>
      </c>
      <c r="T8" s="70"/>
      <c r="U8" s="70">
        <f t="shared" si="0"/>
        <v>240</v>
      </c>
      <c r="V8" s="70">
        <f t="shared" ref="V8:V29" si="4">U8+P8</f>
        <v>240</v>
      </c>
      <c r="W8" s="70">
        <f t="shared" ref="W8:W29" si="5">V8</f>
        <v>240</v>
      </c>
      <c r="X8" s="44"/>
    </row>
    <row r="9" spans="1:24" ht="14.5" x14ac:dyDescent="0.3">
      <c r="A9" s="110" t="s">
        <v>229</v>
      </c>
      <c r="B9" s="110" t="s">
        <v>229</v>
      </c>
      <c r="C9" s="110" t="s">
        <v>412</v>
      </c>
      <c r="D9" s="47">
        <v>0</v>
      </c>
      <c r="E9" s="111" t="s">
        <v>561</v>
      </c>
      <c r="F9" s="110" t="s">
        <v>644</v>
      </c>
      <c r="G9" s="76" t="s">
        <v>31</v>
      </c>
      <c r="H9" s="76" t="s">
        <v>32</v>
      </c>
      <c r="I9" s="76" t="s">
        <v>33</v>
      </c>
      <c r="J9" s="111" t="s">
        <v>32</v>
      </c>
      <c r="K9" s="111" t="s">
        <v>255</v>
      </c>
      <c r="L9" s="69">
        <v>44658</v>
      </c>
      <c r="M9" s="69">
        <v>44659</v>
      </c>
      <c r="N9" s="70">
        <v>0</v>
      </c>
      <c r="O9" s="70">
        <v>0</v>
      </c>
      <c r="P9" s="70">
        <f t="shared" si="3"/>
        <v>0</v>
      </c>
      <c r="Q9" s="53">
        <v>0</v>
      </c>
      <c r="R9" s="70">
        <v>0</v>
      </c>
      <c r="S9" s="53">
        <v>0</v>
      </c>
      <c r="T9" s="70"/>
      <c r="U9" s="70">
        <f t="shared" si="0"/>
        <v>0</v>
      </c>
      <c r="V9" s="70">
        <f t="shared" si="4"/>
        <v>0</v>
      </c>
      <c r="W9" s="70">
        <f t="shared" si="5"/>
        <v>0</v>
      </c>
      <c r="X9" s="44"/>
    </row>
    <row r="10" spans="1:24" ht="14.5" x14ac:dyDescent="0.3">
      <c r="A10" s="110" t="s">
        <v>250</v>
      </c>
      <c r="B10" s="110" t="s">
        <v>258</v>
      </c>
      <c r="C10" s="110" t="s">
        <v>609</v>
      </c>
      <c r="D10" s="47">
        <v>372</v>
      </c>
      <c r="E10" s="111" t="s">
        <v>208</v>
      </c>
      <c r="F10" s="110" t="s">
        <v>644</v>
      </c>
      <c r="G10" s="76" t="s">
        <v>31</v>
      </c>
      <c r="H10" s="76" t="s">
        <v>32</v>
      </c>
      <c r="I10" s="76" t="s">
        <v>33</v>
      </c>
      <c r="J10" s="111" t="s">
        <v>32</v>
      </c>
      <c r="K10" s="111" t="s">
        <v>255</v>
      </c>
      <c r="L10" s="69">
        <v>44658</v>
      </c>
      <c r="M10" s="69">
        <v>44659</v>
      </c>
      <c r="N10" s="70">
        <v>0</v>
      </c>
      <c r="O10" s="70">
        <v>0</v>
      </c>
      <c r="P10" s="70">
        <f t="shared" si="3"/>
        <v>0</v>
      </c>
      <c r="Q10" s="53">
        <v>2</v>
      </c>
      <c r="R10" s="70">
        <v>120</v>
      </c>
      <c r="S10" s="53">
        <v>0</v>
      </c>
      <c r="T10" s="70"/>
      <c r="U10" s="70">
        <f t="shared" si="0"/>
        <v>240</v>
      </c>
      <c r="V10" s="70">
        <f t="shared" si="4"/>
        <v>240</v>
      </c>
      <c r="W10" s="70">
        <f t="shared" si="5"/>
        <v>240</v>
      </c>
      <c r="X10" s="44"/>
    </row>
    <row r="11" spans="1:24" ht="14.5" x14ac:dyDescent="0.3">
      <c r="A11" s="110" t="s">
        <v>229</v>
      </c>
      <c r="B11" s="110" t="s">
        <v>215</v>
      </c>
      <c r="C11" s="110" t="s">
        <v>48</v>
      </c>
      <c r="D11" s="47">
        <v>56</v>
      </c>
      <c r="E11" s="111" t="s">
        <v>615</v>
      </c>
      <c r="F11" s="110" t="s">
        <v>644</v>
      </c>
      <c r="G11" s="76" t="s">
        <v>31</v>
      </c>
      <c r="H11" s="76" t="s">
        <v>32</v>
      </c>
      <c r="I11" s="76" t="s">
        <v>33</v>
      </c>
      <c r="J11" s="111" t="s">
        <v>32</v>
      </c>
      <c r="K11" s="111" t="s">
        <v>255</v>
      </c>
      <c r="L11" s="69">
        <v>44658</v>
      </c>
      <c r="M11" s="69">
        <v>44659</v>
      </c>
      <c r="N11" s="70">
        <v>0</v>
      </c>
      <c r="O11" s="70">
        <v>0</v>
      </c>
      <c r="P11" s="70">
        <f t="shared" si="3"/>
        <v>0</v>
      </c>
      <c r="Q11" s="53">
        <v>2</v>
      </c>
      <c r="R11" s="70">
        <v>120</v>
      </c>
      <c r="S11" s="53">
        <v>0</v>
      </c>
      <c r="T11" s="70"/>
      <c r="U11" s="70">
        <f t="shared" si="0"/>
        <v>240</v>
      </c>
      <c r="V11" s="70">
        <f t="shared" si="4"/>
        <v>240</v>
      </c>
      <c r="W11" s="70">
        <f t="shared" si="5"/>
        <v>240</v>
      </c>
      <c r="X11" s="44"/>
    </row>
    <row r="12" spans="1:24" ht="14.5" x14ac:dyDescent="0.3">
      <c r="A12" s="110" t="s">
        <v>229</v>
      </c>
      <c r="B12" s="110" t="s">
        <v>227</v>
      </c>
      <c r="C12" s="110" t="s">
        <v>70</v>
      </c>
      <c r="D12" s="47">
        <v>303</v>
      </c>
      <c r="E12" s="111" t="s">
        <v>649</v>
      </c>
      <c r="F12" s="110" t="s">
        <v>644</v>
      </c>
      <c r="G12" s="76" t="s">
        <v>31</v>
      </c>
      <c r="H12" s="76" t="s">
        <v>32</v>
      </c>
      <c r="I12" s="76" t="s">
        <v>33</v>
      </c>
      <c r="J12" s="111" t="s">
        <v>32</v>
      </c>
      <c r="K12" s="111" t="s">
        <v>255</v>
      </c>
      <c r="L12" s="69">
        <v>44658</v>
      </c>
      <c r="M12" s="69">
        <v>44659</v>
      </c>
      <c r="N12" s="70">
        <v>0</v>
      </c>
      <c r="O12" s="70">
        <v>0</v>
      </c>
      <c r="P12" s="70">
        <f t="shared" si="3"/>
        <v>0</v>
      </c>
      <c r="Q12" s="53">
        <v>2</v>
      </c>
      <c r="R12" s="70">
        <v>120</v>
      </c>
      <c r="S12" s="53">
        <v>0</v>
      </c>
      <c r="T12" s="70"/>
      <c r="U12" s="70">
        <f t="shared" si="0"/>
        <v>240</v>
      </c>
      <c r="V12" s="70">
        <f t="shared" si="4"/>
        <v>240</v>
      </c>
      <c r="W12" s="70">
        <f t="shared" si="5"/>
        <v>240</v>
      </c>
      <c r="X12" s="44"/>
    </row>
    <row r="13" spans="1:24" ht="14.5" x14ac:dyDescent="0.3">
      <c r="A13" s="110" t="s">
        <v>229</v>
      </c>
      <c r="B13" s="110" t="s">
        <v>227</v>
      </c>
      <c r="C13" s="110" t="s">
        <v>581</v>
      </c>
      <c r="D13" s="47">
        <v>357</v>
      </c>
      <c r="E13" s="111" t="s">
        <v>262</v>
      </c>
      <c r="F13" s="110" t="s">
        <v>644</v>
      </c>
      <c r="G13" s="76" t="s">
        <v>31</v>
      </c>
      <c r="H13" s="76" t="s">
        <v>32</v>
      </c>
      <c r="I13" s="76" t="s">
        <v>33</v>
      </c>
      <c r="J13" s="111" t="s">
        <v>32</v>
      </c>
      <c r="K13" s="111" t="s">
        <v>255</v>
      </c>
      <c r="L13" s="69">
        <v>44658</v>
      </c>
      <c r="M13" s="69">
        <v>44659</v>
      </c>
      <c r="N13" s="70">
        <v>0</v>
      </c>
      <c r="O13" s="70">
        <v>0</v>
      </c>
      <c r="P13" s="70">
        <f t="shared" si="3"/>
        <v>0</v>
      </c>
      <c r="Q13" s="53">
        <v>2</v>
      </c>
      <c r="R13" s="70">
        <v>120</v>
      </c>
      <c r="S13" s="53">
        <v>0</v>
      </c>
      <c r="T13" s="70"/>
      <c r="U13" s="70">
        <f t="shared" si="0"/>
        <v>240</v>
      </c>
      <c r="V13" s="70">
        <f t="shared" si="4"/>
        <v>240</v>
      </c>
      <c r="W13" s="70">
        <f t="shared" si="5"/>
        <v>240</v>
      </c>
      <c r="X13" s="44"/>
    </row>
    <row r="14" spans="1:24" ht="14.5" x14ac:dyDescent="0.3">
      <c r="A14" s="110" t="s">
        <v>250</v>
      </c>
      <c r="B14" s="110" t="s">
        <v>212</v>
      </c>
      <c r="C14" s="110" t="s">
        <v>397</v>
      </c>
      <c r="D14" s="47">
        <v>345</v>
      </c>
      <c r="E14" s="111" t="s">
        <v>650</v>
      </c>
      <c r="F14" s="110" t="s">
        <v>644</v>
      </c>
      <c r="G14" s="76" t="s">
        <v>31</v>
      </c>
      <c r="H14" s="76" t="s">
        <v>32</v>
      </c>
      <c r="I14" s="76" t="s">
        <v>33</v>
      </c>
      <c r="J14" s="111" t="s">
        <v>32</v>
      </c>
      <c r="K14" s="111" t="s">
        <v>255</v>
      </c>
      <c r="L14" s="69">
        <v>44658</v>
      </c>
      <c r="M14" s="69">
        <v>44659</v>
      </c>
      <c r="N14" s="70">
        <v>0</v>
      </c>
      <c r="O14" s="70">
        <v>0</v>
      </c>
      <c r="P14" s="70">
        <f t="shared" si="3"/>
        <v>0</v>
      </c>
      <c r="Q14" s="53">
        <v>2</v>
      </c>
      <c r="R14" s="70">
        <v>120</v>
      </c>
      <c r="S14" s="53">
        <v>0</v>
      </c>
      <c r="T14" s="70"/>
      <c r="U14" s="70">
        <f t="shared" si="0"/>
        <v>240</v>
      </c>
      <c r="V14" s="70">
        <f t="shared" si="4"/>
        <v>240</v>
      </c>
      <c r="W14" s="70">
        <f t="shared" si="5"/>
        <v>240</v>
      </c>
      <c r="X14" s="44"/>
    </row>
    <row r="15" spans="1:24" ht="14.5" x14ac:dyDescent="0.3">
      <c r="A15" s="110" t="s">
        <v>229</v>
      </c>
      <c r="B15" s="110" t="s">
        <v>227</v>
      </c>
      <c r="C15" s="110" t="s">
        <v>645</v>
      </c>
      <c r="D15" s="47">
        <v>377</v>
      </c>
      <c r="E15" s="111" t="s">
        <v>651</v>
      </c>
      <c r="F15" s="110" t="s">
        <v>644</v>
      </c>
      <c r="G15" s="76" t="s">
        <v>31</v>
      </c>
      <c r="H15" s="76" t="s">
        <v>32</v>
      </c>
      <c r="I15" s="76" t="s">
        <v>33</v>
      </c>
      <c r="J15" s="111" t="s">
        <v>32</v>
      </c>
      <c r="K15" s="111" t="s">
        <v>255</v>
      </c>
      <c r="L15" s="69">
        <v>44658</v>
      </c>
      <c r="M15" s="69">
        <v>44659</v>
      </c>
      <c r="N15" s="70">
        <v>0</v>
      </c>
      <c r="O15" s="70">
        <v>0</v>
      </c>
      <c r="P15" s="70">
        <f t="shared" si="3"/>
        <v>0</v>
      </c>
      <c r="Q15" s="53">
        <v>2</v>
      </c>
      <c r="R15" s="70">
        <v>120</v>
      </c>
      <c r="S15" s="53">
        <v>0</v>
      </c>
      <c r="T15" s="70"/>
      <c r="U15" s="70">
        <f t="shared" si="0"/>
        <v>240</v>
      </c>
      <c r="V15" s="70">
        <f t="shared" si="4"/>
        <v>240</v>
      </c>
      <c r="W15" s="70">
        <f t="shared" si="5"/>
        <v>240</v>
      </c>
      <c r="X15" s="44"/>
    </row>
    <row r="16" spans="1:24" ht="14.5" x14ac:dyDescent="0.3">
      <c r="A16" s="110" t="s">
        <v>229</v>
      </c>
      <c r="B16" s="110" t="s">
        <v>542</v>
      </c>
      <c r="C16" s="110" t="s">
        <v>541</v>
      </c>
      <c r="D16" s="47">
        <v>353</v>
      </c>
      <c r="E16" s="111" t="s">
        <v>548</v>
      </c>
      <c r="F16" s="110" t="s">
        <v>644</v>
      </c>
      <c r="G16" s="76" t="s">
        <v>31</v>
      </c>
      <c r="H16" s="76" t="s">
        <v>32</v>
      </c>
      <c r="I16" s="76" t="s">
        <v>33</v>
      </c>
      <c r="J16" s="111" t="s">
        <v>32</v>
      </c>
      <c r="K16" s="111" t="s">
        <v>255</v>
      </c>
      <c r="L16" s="69">
        <v>44658</v>
      </c>
      <c r="M16" s="69">
        <v>44659</v>
      </c>
      <c r="N16" s="70">
        <v>0</v>
      </c>
      <c r="O16" s="70">
        <v>0</v>
      </c>
      <c r="P16" s="70">
        <f t="shared" si="3"/>
        <v>0</v>
      </c>
      <c r="Q16" s="53">
        <v>2</v>
      </c>
      <c r="R16" s="70">
        <v>120</v>
      </c>
      <c r="S16" s="53">
        <v>0</v>
      </c>
      <c r="T16" s="70"/>
      <c r="U16" s="70">
        <f t="shared" si="0"/>
        <v>240</v>
      </c>
      <c r="V16" s="70">
        <f t="shared" si="4"/>
        <v>240</v>
      </c>
      <c r="W16" s="70">
        <f t="shared" si="5"/>
        <v>240</v>
      </c>
      <c r="X16" s="44"/>
    </row>
    <row r="17" spans="1:24" ht="14.5" x14ac:dyDescent="0.3">
      <c r="A17" s="110" t="s">
        <v>250</v>
      </c>
      <c r="B17" s="110" t="s">
        <v>250</v>
      </c>
      <c r="C17" s="110" t="s">
        <v>319</v>
      </c>
      <c r="D17" s="47" t="s">
        <v>633</v>
      </c>
      <c r="E17" s="111" t="s">
        <v>87</v>
      </c>
      <c r="F17" s="110" t="s">
        <v>644</v>
      </c>
      <c r="G17" s="76" t="s">
        <v>31</v>
      </c>
      <c r="H17" s="76" t="s">
        <v>32</v>
      </c>
      <c r="I17" s="76" t="s">
        <v>33</v>
      </c>
      <c r="J17" s="111" t="s">
        <v>32</v>
      </c>
      <c r="K17" s="111" t="s">
        <v>255</v>
      </c>
      <c r="L17" s="69">
        <v>44658</v>
      </c>
      <c r="M17" s="69">
        <v>44659</v>
      </c>
      <c r="N17" s="70">
        <v>0</v>
      </c>
      <c r="O17" s="70">
        <v>0</v>
      </c>
      <c r="P17" s="70">
        <f t="shared" si="3"/>
        <v>0</v>
      </c>
      <c r="Q17" s="53">
        <v>2</v>
      </c>
      <c r="R17" s="70">
        <v>120</v>
      </c>
      <c r="S17" s="53">
        <v>0</v>
      </c>
      <c r="T17" s="70"/>
      <c r="U17" s="70">
        <f t="shared" si="0"/>
        <v>240</v>
      </c>
      <c r="V17" s="70">
        <f t="shared" si="4"/>
        <v>240</v>
      </c>
      <c r="W17" s="70">
        <f t="shared" si="5"/>
        <v>240</v>
      </c>
      <c r="X17" s="44"/>
    </row>
    <row r="18" spans="1:24" ht="14.5" x14ac:dyDescent="0.3">
      <c r="A18" s="110" t="s">
        <v>250</v>
      </c>
      <c r="B18" s="110" t="s">
        <v>212</v>
      </c>
      <c r="C18" s="110" t="s">
        <v>270</v>
      </c>
      <c r="D18" s="47" t="s">
        <v>173</v>
      </c>
      <c r="E18" s="111" t="s">
        <v>599</v>
      </c>
      <c r="F18" s="110" t="s">
        <v>644</v>
      </c>
      <c r="G18" s="76" t="s">
        <v>31</v>
      </c>
      <c r="H18" s="76" t="s">
        <v>32</v>
      </c>
      <c r="I18" s="76" t="s">
        <v>33</v>
      </c>
      <c r="J18" s="111" t="s">
        <v>32</v>
      </c>
      <c r="K18" s="111" t="s">
        <v>255</v>
      </c>
      <c r="L18" s="69">
        <v>44658</v>
      </c>
      <c r="M18" s="69">
        <v>44659</v>
      </c>
      <c r="N18" s="70">
        <v>0</v>
      </c>
      <c r="O18" s="70">
        <v>0</v>
      </c>
      <c r="P18" s="70">
        <f t="shared" si="3"/>
        <v>0</v>
      </c>
      <c r="Q18" s="53">
        <v>2</v>
      </c>
      <c r="R18" s="70">
        <v>120</v>
      </c>
      <c r="S18" s="53">
        <v>0</v>
      </c>
      <c r="T18" s="70"/>
      <c r="U18" s="70">
        <f t="shared" si="0"/>
        <v>240</v>
      </c>
      <c r="V18" s="70">
        <f t="shared" si="4"/>
        <v>240</v>
      </c>
      <c r="W18" s="70">
        <f t="shared" si="5"/>
        <v>240</v>
      </c>
      <c r="X18" s="44"/>
    </row>
    <row r="19" spans="1:24" ht="14.5" x14ac:dyDescent="0.3">
      <c r="A19" s="110" t="s">
        <v>250</v>
      </c>
      <c r="B19" s="110" t="s">
        <v>212</v>
      </c>
      <c r="C19" s="110" t="s">
        <v>40</v>
      </c>
      <c r="D19" s="47">
        <v>129</v>
      </c>
      <c r="E19" s="111" t="s">
        <v>652</v>
      </c>
      <c r="F19" s="110" t="s">
        <v>644</v>
      </c>
      <c r="G19" s="76" t="s">
        <v>31</v>
      </c>
      <c r="H19" s="76" t="s">
        <v>32</v>
      </c>
      <c r="I19" s="76" t="s">
        <v>33</v>
      </c>
      <c r="J19" s="111" t="s">
        <v>32</v>
      </c>
      <c r="K19" s="111" t="s">
        <v>255</v>
      </c>
      <c r="L19" s="69">
        <v>44658</v>
      </c>
      <c r="M19" s="69">
        <v>44659</v>
      </c>
      <c r="N19" s="70">
        <v>0</v>
      </c>
      <c r="O19" s="70">
        <v>0</v>
      </c>
      <c r="P19" s="70">
        <f t="shared" si="3"/>
        <v>0</v>
      </c>
      <c r="Q19" s="53">
        <v>2</v>
      </c>
      <c r="R19" s="70">
        <v>120</v>
      </c>
      <c r="S19" s="53">
        <v>0</v>
      </c>
      <c r="T19" s="70"/>
      <c r="U19" s="70">
        <f t="shared" si="0"/>
        <v>240</v>
      </c>
      <c r="V19" s="70">
        <f t="shared" si="4"/>
        <v>240</v>
      </c>
      <c r="W19" s="70">
        <f t="shared" si="5"/>
        <v>240</v>
      </c>
      <c r="X19" s="44"/>
    </row>
    <row r="20" spans="1:24" ht="14.5" x14ac:dyDescent="0.3">
      <c r="A20" s="110" t="s">
        <v>372</v>
      </c>
      <c r="B20" s="110" t="s">
        <v>398</v>
      </c>
      <c r="C20" s="110" t="s">
        <v>266</v>
      </c>
      <c r="D20" s="47">
        <v>296</v>
      </c>
      <c r="E20" s="111" t="s">
        <v>653</v>
      </c>
      <c r="F20" s="110" t="s">
        <v>644</v>
      </c>
      <c r="G20" s="76" t="s">
        <v>31</v>
      </c>
      <c r="H20" s="76" t="s">
        <v>32</v>
      </c>
      <c r="I20" s="76" t="s">
        <v>33</v>
      </c>
      <c r="J20" s="111" t="s">
        <v>32</v>
      </c>
      <c r="K20" s="111" t="s">
        <v>255</v>
      </c>
      <c r="L20" s="69">
        <v>44658</v>
      </c>
      <c r="M20" s="69">
        <v>44659</v>
      </c>
      <c r="N20" s="70">
        <v>0</v>
      </c>
      <c r="O20" s="70">
        <v>0</v>
      </c>
      <c r="P20" s="70">
        <f t="shared" si="3"/>
        <v>0</v>
      </c>
      <c r="Q20" s="53">
        <v>2</v>
      </c>
      <c r="R20" s="70">
        <v>120</v>
      </c>
      <c r="S20" s="53">
        <v>0</v>
      </c>
      <c r="T20" s="70"/>
      <c r="U20" s="70">
        <f t="shared" si="0"/>
        <v>240</v>
      </c>
      <c r="V20" s="70">
        <f t="shared" si="4"/>
        <v>240</v>
      </c>
      <c r="W20" s="70">
        <f t="shared" si="5"/>
        <v>240</v>
      </c>
      <c r="X20" s="44"/>
    </row>
    <row r="21" spans="1:24" ht="14.5" x14ac:dyDescent="0.3">
      <c r="A21" s="110" t="s">
        <v>372</v>
      </c>
      <c r="B21" s="110" t="s">
        <v>238</v>
      </c>
      <c r="C21" s="110" t="s">
        <v>135</v>
      </c>
      <c r="D21" s="47">
        <v>230</v>
      </c>
      <c r="E21" s="111" t="s">
        <v>152</v>
      </c>
      <c r="F21" s="110" t="s">
        <v>644</v>
      </c>
      <c r="G21" s="76" t="s">
        <v>31</v>
      </c>
      <c r="H21" s="76" t="s">
        <v>32</v>
      </c>
      <c r="I21" s="76" t="s">
        <v>33</v>
      </c>
      <c r="J21" s="111" t="s">
        <v>32</v>
      </c>
      <c r="K21" s="111" t="s">
        <v>255</v>
      </c>
      <c r="L21" s="69">
        <v>44658</v>
      </c>
      <c r="M21" s="69">
        <v>44659</v>
      </c>
      <c r="N21" s="70">
        <v>0</v>
      </c>
      <c r="O21" s="70">
        <v>0</v>
      </c>
      <c r="P21" s="70">
        <f t="shared" si="3"/>
        <v>0</v>
      </c>
      <c r="Q21" s="53">
        <v>2</v>
      </c>
      <c r="R21" s="70">
        <v>120</v>
      </c>
      <c r="S21" s="53">
        <v>0</v>
      </c>
      <c r="T21" s="70"/>
      <c r="U21" s="70">
        <f t="shared" si="0"/>
        <v>240</v>
      </c>
      <c r="V21" s="70">
        <f t="shared" si="4"/>
        <v>240</v>
      </c>
      <c r="W21" s="70">
        <f t="shared" si="5"/>
        <v>240</v>
      </c>
      <c r="X21" s="44"/>
    </row>
    <row r="22" spans="1:24" ht="14.5" x14ac:dyDescent="0.3">
      <c r="A22" s="110" t="s">
        <v>250</v>
      </c>
      <c r="B22" s="110" t="s">
        <v>258</v>
      </c>
      <c r="C22" s="110" t="s">
        <v>183</v>
      </c>
      <c r="D22" s="47" t="s">
        <v>188</v>
      </c>
      <c r="E22" s="111" t="s">
        <v>388</v>
      </c>
      <c r="F22" s="110" t="s">
        <v>644</v>
      </c>
      <c r="G22" s="76" t="s">
        <v>31</v>
      </c>
      <c r="H22" s="76" t="s">
        <v>32</v>
      </c>
      <c r="I22" s="76" t="s">
        <v>33</v>
      </c>
      <c r="J22" s="111" t="s">
        <v>32</v>
      </c>
      <c r="K22" s="111" t="s">
        <v>255</v>
      </c>
      <c r="L22" s="69">
        <v>44658</v>
      </c>
      <c r="M22" s="69">
        <v>44659</v>
      </c>
      <c r="N22" s="70">
        <v>0</v>
      </c>
      <c r="O22" s="70">
        <v>0</v>
      </c>
      <c r="P22" s="70">
        <f t="shared" si="3"/>
        <v>0</v>
      </c>
      <c r="Q22" s="53">
        <v>2</v>
      </c>
      <c r="R22" s="70">
        <v>120</v>
      </c>
      <c r="S22" s="53">
        <v>0</v>
      </c>
      <c r="T22" s="70"/>
      <c r="U22" s="70">
        <f t="shared" si="0"/>
        <v>240</v>
      </c>
      <c r="V22" s="70">
        <f t="shared" si="4"/>
        <v>240</v>
      </c>
      <c r="W22" s="70">
        <f t="shared" si="5"/>
        <v>240</v>
      </c>
      <c r="X22" s="44"/>
    </row>
    <row r="23" spans="1:24" ht="14.5" x14ac:dyDescent="0.3">
      <c r="A23" s="110" t="s">
        <v>250</v>
      </c>
      <c r="B23" s="110" t="s">
        <v>322</v>
      </c>
      <c r="C23" s="110" t="s">
        <v>323</v>
      </c>
      <c r="D23" s="47">
        <v>87</v>
      </c>
      <c r="E23" s="111" t="s">
        <v>648</v>
      </c>
      <c r="F23" s="110" t="s">
        <v>644</v>
      </c>
      <c r="G23" s="76" t="s">
        <v>31</v>
      </c>
      <c r="H23" s="76" t="s">
        <v>32</v>
      </c>
      <c r="I23" s="76" t="s">
        <v>33</v>
      </c>
      <c r="J23" s="111" t="s">
        <v>32</v>
      </c>
      <c r="K23" s="111" t="s">
        <v>255</v>
      </c>
      <c r="L23" s="69">
        <v>44658</v>
      </c>
      <c r="M23" s="69">
        <v>44659</v>
      </c>
      <c r="N23" s="70">
        <v>0</v>
      </c>
      <c r="O23" s="70">
        <v>0</v>
      </c>
      <c r="P23" s="70">
        <f t="shared" si="3"/>
        <v>0</v>
      </c>
      <c r="Q23" s="53">
        <v>2</v>
      </c>
      <c r="R23" s="70">
        <v>120</v>
      </c>
      <c r="S23" s="53">
        <v>0</v>
      </c>
      <c r="T23" s="70"/>
      <c r="U23" s="70">
        <f t="shared" si="0"/>
        <v>240</v>
      </c>
      <c r="V23" s="70">
        <f t="shared" si="4"/>
        <v>240</v>
      </c>
      <c r="W23" s="70">
        <f t="shared" si="5"/>
        <v>240</v>
      </c>
      <c r="X23" s="44"/>
    </row>
    <row r="24" spans="1:24" ht="14.5" x14ac:dyDescent="0.3">
      <c r="A24" s="110" t="s">
        <v>372</v>
      </c>
      <c r="B24" s="110" t="s">
        <v>372</v>
      </c>
      <c r="C24" s="110" t="s">
        <v>134</v>
      </c>
      <c r="D24" s="47">
        <v>202</v>
      </c>
      <c r="E24" s="111" t="s">
        <v>87</v>
      </c>
      <c r="F24" s="110" t="s">
        <v>644</v>
      </c>
      <c r="G24" s="76" t="s">
        <v>31</v>
      </c>
      <c r="H24" s="76" t="s">
        <v>32</v>
      </c>
      <c r="I24" s="76" t="s">
        <v>33</v>
      </c>
      <c r="J24" s="111" t="s">
        <v>32</v>
      </c>
      <c r="K24" s="111" t="s">
        <v>255</v>
      </c>
      <c r="L24" s="69">
        <v>44658</v>
      </c>
      <c r="M24" s="69">
        <v>44659</v>
      </c>
      <c r="N24" s="70">
        <v>0</v>
      </c>
      <c r="O24" s="70">
        <v>0</v>
      </c>
      <c r="P24" s="70">
        <f t="shared" si="3"/>
        <v>0</v>
      </c>
      <c r="Q24" s="53">
        <v>2</v>
      </c>
      <c r="R24" s="70">
        <v>120</v>
      </c>
      <c r="S24" s="53">
        <v>0</v>
      </c>
      <c r="T24" s="70"/>
      <c r="U24" s="70">
        <f t="shared" si="0"/>
        <v>240</v>
      </c>
      <c r="V24" s="70">
        <f t="shared" si="4"/>
        <v>240</v>
      </c>
      <c r="W24" s="70">
        <f t="shared" si="5"/>
        <v>240</v>
      </c>
      <c r="X24" s="44"/>
    </row>
    <row r="25" spans="1:24" ht="14.5" x14ac:dyDescent="0.3">
      <c r="A25" s="110" t="s">
        <v>250</v>
      </c>
      <c r="B25" s="110" t="s">
        <v>322</v>
      </c>
      <c r="C25" s="110" t="s">
        <v>320</v>
      </c>
      <c r="D25" s="47">
        <v>204</v>
      </c>
      <c r="E25" s="111" t="s">
        <v>647</v>
      </c>
      <c r="F25" s="110" t="s">
        <v>644</v>
      </c>
      <c r="G25" s="76" t="s">
        <v>31</v>
      </c>
      <c r="H25" s="76" t="s">
        <v>32</v>
      </c>
      <c r="I25" s="76" t="s">
        <v>33</v>
      </c>
      <c r="J25" s="111" t="s">
        <v>32</v>
      </c>
      <c r="K25" s="111" t="s">
        <v>255</v>
      </c>
      <c r="L25" s="69">
        <v>44658</v>
      </c>
      <c r="M25" s="69">
        <v>44659</v>
      </c>
      <c r="N25" s="70">
        <v>0</v>
      </c>
      <c r="O25" s="70">
        <v>0</v>
      </c>
      <c r="P25" s="70">
        <f t="shared" si="3"/>
        <v>0</v>
      </c>
      <c r="Q25" s="53">
        <v>2</v>
      </c>
      <c r="R25" s="70">
        <v>120</v>
      </c>
      <c r="S25" s="53">
        <v>0</v>
      </c>
      <c r="T25" s="70"/>
      <c r="U25" s="70">
        <f t="shared" si="0"/>
        <v>240</v>
      </c>
      <c r="V25" s="70">
        <f t="shared" si="4"/>
        <v>240</v>
      </c>
      <c r="W25" s="70">
        <f t="shared" si="5"/>
        <v>240</v>
      </c>
      <c r="X25" s="44"/>
    </row>
    <row r="26" spans="1:24" ht="14.5" x14ac:dyDescent="0.3">
      <c r="A26" s="110" t="s">
        <v>250</v>
      </c>
      <c r="B26" s="110" t="s">
        <v>258</v>
      </c>
      <c r="C26" s="110" t="s">
        <v>432</v>
      </c>
      <c r="D26" s="47">
        <v>264</v>
      </c>
      <c r="E26" s="111" t="s">
        <v>616</v>
      </c>
      <c r="F26" s="110" t="s">
        <v>644</v>
      </c>
      <c r="G26" s="76" t="s">
        <v>31</v>
      </c>
      <c r="H26" s="76" t="s">
        <v>32</v>
      </c>
      <c r="I26" s="76" t="s">
        <v>33</v>
      </c>
      <c r="J26" s="111" t="s">
        <v>32</v>
      </c>
      <c r="K26" s="111" t="s">
        <v>255</v>
      </c>
      <c r="L26" s="69">
        <v>44658</v>
      </c>
      <c r="M26" s="69">
        <v>44659</v>
      </c>
      <c r="N26" s="70">
        <v>0</v>
      </c>
      <c r="O26" s="70">
        <v>0</v>
      </c>
      <c r="P26" s="70">
        <f t="shared" si="3"/>
        <v>0</v>
      </c>
      <c r="Q26" s="53">
        <v>2</v>
      </c>
      <c r="R26" s="70">
        <v>120</v>
      </c>
      <c r="S26" s="53">
        <v>0</v>
      </c>
      <c r="T26" s="70"/>
      <c r="U26" s="70">
        <f t="shared" si="0"/>
        <v>240</v>
      </c>
      <c r="V26" s="70">
        <f t="shared" si="4"/>
        <v>240</v>
      </c>
      <c r="W26" s="70">
        <f t="shared" si="5"/>
        <v>240</v>
      </c>
      <c r="X26" s="44"/>
    </row>
    <row r="27" spans="1:24" ht="14.5" x14ac:dyDescent="0.3">
      <c r="A27" s="110" t="s">
        <v>229</v>
      </c>
      <c r="B27" s="110" t="s">
        <v>227</v>
      </c>
      <c r="C27" s="110" t="s">
        <v>646</v>
      </c>
      <c r="D27" s="47">
        <v>343</v>
      </c>
      <c r="E27" s="111" t="s">
        <v>649</v>
      </c>
      <c r="F27" s="110" t="s">
        <v>644</v>
      </c>
      <c r="G27" s="76" t="s">
        <v>31</v>
      </c>
      <c r="H27" s="76" t="s">
        <v>32</v>
      </c>
      <c r="I27" s="76" t="s">
        <v>33</v>
      </c>
      <c r="J27" s="111" t="s">
        <v>32</v>
      </c>
      <c r="K27" s="111" t="s">
        <v>255</v>
      </c>
      <c r="L27" s="69">
        <v>44658</v>
      </c>
      <c r="M27" s="69">
        <v>44659</v>
      </c>
      <c r="N27" s="70">
        <v>0</v>
      </c>
      <c r="O27" s="70">
        <v>0</v>
      </c>
      <c r="P27" s="70">
        <f t="shared" si="3"/>
        <v>0</v>
      </c>
      <c r="Q27" s="53">
        <v>2</v>
      </c>
      <c r="R27" s="70">
        <v>120</v>
      </c>
      <c r="S27" s="53">
        <v>0</v>
      </c>
      <c r="T27" s="70"/>
      <c r="U27" s="70">
        <f t="shared" si="0"/>
        <v>240</v>
      </c>
      <c r="V27" s="70">
        <f t="shared" si="4"/>
        <v>240</v>
      </c>
      <c r="W27" s="70">
        <f t="shared" si="5"/>
        <v>240</v>
      </c>
      <c r="X27" s="44"/>
    </row>
    <row r="28" spans="1:24" ht="14.5" x14ac:dyDescent="0.3">
      <c r="A28" s="110" t="s">
        <v>229</v>
      </c>
      <c r="B28" s="110" t="s">
        <v>301</v>
      </c>
      <c r="C28" s="110" t="s">
        <v>610</v>
      </c>
      <c r="D28" s="47">
        <v>366</v>
      </c>
      <c r="E28" s="111" t="s">
        <v>618</v>
      </c>
      <c r="F28" s="110" t="s">
        <v>644</v>
      </c>
      <c r="G28" s="76" t="s">
        <v>31</v>
      </c>
      <c r="H28" s="76" t="s">
        <v>32</v>
      </c>
      <c r="I28" s="76" t="s">
        <v>33</v>
      </c>
      <c r="J28" s="111" t="s">
        <v>32</v>
      </c>
      <c r="K28" s="111" t="s">
        <v>255</v>
      </c>
      <c r="L28" s="69">
        <v>44658</v>
      </c>
      <c r="M28" s="69">
        <v>44659</v>
      </c>
      <c r="N28" s="70">
        <v>0</v>
      </c>
      <c r="O28" s="70">
        <v>0</v>
      </c>
      <c r="P28" s="70">
        <f t="shared" si="3"/>
        <v>0</v>
      </c>
      <c r="Q28" s="53">
        <v>2</v>
      </c>
      <c r="R28" s="70">
        <v>120</v>
      </c>
      <c r="S28" s="53">
        <v>0</v>
      </c>
      <c r="T28" s="70"/>
      <c r="U28" s="70">
        <f t="shared" si="0"/>
        <v>240</v>
      </c>
      <c r="V28" s="70">
        <f t="shared" si="4"/>
        <v>240</v>
      </c>
      <c r="W28" s="70">
        <f t="shared" si="5"/>
        <v>240</v>
      </c>
      <c r="X28" s="44"/>
    </row>
    <row r="29" spans="1:24" ht="14.5" x14ac:dyDescent="0.3">
      <c r="A29" s="110" t="s">
        <v>250</v>
      </c>
      <c r="B29" s="110" t="s">
        <v>234</v>
      </c>
      <c r="C29" s="110" t="s">
        <v>612</v>
      </c>
      <c r="D29" s="47">
        <v>365</v>
      </c>
      <c r="E29" s="111" t="s">
        <v>244</v>
      </c>
      <c r="F29" s="110" t="s">
        <v>644</v>
      </c>
      <c r="G29" s="76" t="s">
        <v>31</v>
      </c>
      <c r="H29" s="76" t="s">
        <v>32</v>
      </c>
      <c r="I29" s="76" t="s">
        <v>33</v>
      </c>
      <c r="J29" s="111" t="s">
        <v>32</v>
      </c>
      <c r="K29" s="111" t="s">
        <v>255</v>
      </c>
      <c r="L29" s="69">
        <v>44658</v>
      </c>
      <c r="M29" s="69">
        <v>44659</v>
      </c>
      <c r="N29" s="70">
        <v>0</v>
      </c>
      <c r="O29" s="70">
        <v>0</v>
      </c>
      <c r="P29" s="70">
        <f t="shared" si="3"/>
        <v>0</v>
      </c>
      <c r="Q29" s="53">
        <v>2</v>
      </c>
      <c r="R29" s="70">
        <v>120</v>
      </c>
      <c r="S29" s="53">
        <v>0</v>
      </c>
      <c r="T29" s="70"/>
      <c r="U29" s="70">
        <f t="shared" si="0"/>
        <v>240</v>
      </c>
      <c r="V29" s="70">
        <f t="shared" si="4"/>
        <v>240</v>
      </c>
      <c r="W29" s="70">
        <f t="shared" si="5"/>
        <v>240</v>
      </c>
      <c r="X29" s="44"/>
    </row>
  </sheetData>
  <sortState xmlns:xlrd2="http://schemas.microsoft.com/office/spreadsheetml/2017/richdata2" ref="C9:C30">
    <sortCondition ref="C8"/>
  </sortState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X11"/>
  <sheetViews>
    <sheetView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92"/>
      <c r="B4" s="392"/>
      <c r="C4" s="392"/>
      <c r="D4" s="392"/>
      <c r="E4" s="392"/>
      <c r="F4" s="392"/>
      <c r="G4" s="392"/>
      <c r="H4" s="10" t="s">
        <v>27</v>
      </c>
      <c r="I4" s="10" t="s">
        <v>28</v>
      </c>
      <c r="J4" s="10" t="s">
        <v>27</v>
      </c>
      <c r="K4" s="11" t="s">
        <v>29</v>
      </c>
      <c r="L4" s="392"/>
      <c r="M4" s="392"/>
      <c r="N4" s="393"/>
      <c r="O4" s="393"/>
      <c r="P4" s="393"/>
      <c r="Q4" s="10" t="s">
        <v>2</v>
      </c>
      <c r="R4" s="11" t="s">
        <v>30</v>
      </c>
      <c r="S4" s="10" t="s">
        <v>2</v>
      </c>
      <c r="T4" s="11" t="s">
        <v>30</v>
      </c>
      <c r="U4" s="392"/>
      <c r="V4" s="393"/>
      <c r="W4" s="394"/>
      <c r="X4" s="391"/>
    </row>
    <row r="5" spans="1:24" ht="14.5" x14ac:dyDescent="0.3">
      <c r="A5" s="110" t="s">
        <v>250</v>
      </c>
      <c r="B5" s="110" t="s">
        <v>250</v>
      </c>
      <c r="C5" s="110" t="s">
        <v>319</v>
      </c>
      <c r="D5" s="47" t="s">
        <v>633</v>
      </c>
      <c r="E5" s="111" t="s">
        <v>87</v>
      </c>
      <c r="F5" s="112" t="s">
        <v>654</v>
      </c>
      <c r="G5" s="76" t="s">
        <v>31</v>
      </c>
      <c r="H5" s="76" t="s">
        <v>32</v>
      </c>
      <c r="I5" s="76" t="s">
        <v>33</v>
      </c>
      <c r="J5" s="112" t="s">
        <v>121</v>
      </c>
      <c r="K5" s="112" t="s">
        <v>62</v>
      </c>
      <c r="L5" s="69">
        <v>44692</v>
      </c>
      <c r="M5" s="69">
        <v>44692</v>
      </c>
      <c r="N5" s="113">
        <v>1254.69</v>
      </c>
      <c r="O5" s="113">
        <v>2229.5500000000002</v>
      </c>
      <c r="P5" s="70">
        <f>SUM(N5:O5)</f>
        <v>3484.2400000000002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11" si="0">(Q5*R5)+(S5*T5)</f>
        <v>120</v>
      </c>
      <c r="V5" s="70">
        <f t="shared" ref="V5:V11" si="1">U5+P5</f>
        <v>3604.2400000000002</v>
      </c>
      <c r="W5" s="70">
        <f t="shared" ref="W5:W11" si="2">V5</f>
        <v>3604.2400000000002</v>
      </c>
      <c r="X5" s="53"/>
    </row>
    <row r="6" spans="1:24" ht="29" x14ac:dyDescent="0.3">
      <c r="A6" s="110" t="s">
        <v>597</v>
      </c>
      <c r="B6" s="110" t="s">
        <v>301</v>
      </c>
      <c r="C6" s="110" t="s">
        <v>608</v>
      </c>
      <c r="D6" s="47">
        <v>355</v>
      </c>
      <c r="E6" s="110" t="s">
        <v>313</v>
      </c>
      <c r="F6" s="114" t="s">
        <v>655</v>
      </c>
      <c r="G6" s="76" t="s">
        <v>31</v>
      </c>
      <c r="H6" s="76" t="s">
        <v>32</v>
      </c>
      <c r="I6" s="76" t="s">
        <v>33</v>
      </c>
      <c r="J6" s="112" t="s">
        <v>121</v>
      </c>
      <c r="K6" s="112" t="s">
        <v>62</v>
      </c>
      <c r="L6" s="69">
        <v>44692</v>
      </c>
      <c r="M6" s="69">
        <v>44696</v>
      </c>
      <c r="N6" s="70">
        <f>1500/2</f>
        <v>750</v>
      </c>
      <c r="O6" s="70">
        <f>1500/2</f>
        <v>750</v>
      </c>
      <c r="P6" s="70">
        <f>SUM(N6:O6)</f>
        <v>1500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1860</v>
      </c>
      <c r="W6" s="70">
        <f t="shared" si="2"/>
        <v>1860</v>
      </c>
      <c r="X6" s="53"/>
    </row>
    <row r="7" spans="1:24" ht="14.5" x14ac:dyDescent="0.3">
      <c r="A7" s="110" t="s">
        <v>250</v>
      </c>
      <c r="B7" s="110" t="s">
        <v>212</v>
      </c>
      <c r="C7" s="110" t="s">
        <v>270</v>
      </c>
      <c r="D7" s="47" t="s">
        <v>173</v>
      </c>
      <c r="E7" s="111" t="s">
        <v>599</v>
      </c>
      <c r="F7" s="110" t="s">
        <v>656</v>
      </c>
      <c r="G7" s="76" t="s">
        <v>31</v>
      </c>
      <c r="H7" s="76" t="s">
        <v>32</v>
      </c>
      <c r="I7" s="76" t="s">
        <v>33</v>
      </c>
      <c r="J7" s="111" t="s">
        <v>32</v>
      </c>
      <c r="K7" s="112" t="s">
        <v>390</v>
      </c>
      <c r="L7" s="69">
        <v>44706</v>
      </c>
      <c r="M7" s="69">
        <v>44707</v>
      </c>
      <c r="N7" s="70">
        <v>2980.9</v>
      </c>
      <c r="O7" s="70">
        <v>1405</v>
      </c>
      <c r="P7" s="70">
        <f t="shared" ref="P7:P11" si="3">SUM(N7:O7)</f>
        <v>4385.8999999999996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4625.8999999999996</v>
      </c>
      <c r="W7" s="70">
        <f t="shared" si="2"/>
        <v>4625.8999999999996</v>
      </c>
      <c r="X7" s="53"/>
    </row>
    <row r="8" spans="1:24" ht="14.5" x14ac:dyDescent="0.3">
      <c r="A8" s="110" t="s">
        <v>229</v>
      </c>
      <c r="B8" s="110" t="s">
        <v>215</v>
      </c>
      <c r="C8" s="110" t="s">
        <v>48</v>
      </c>
      <c r="D8" s="47">
        <v>56</v>
      </c>
      <c r="E8" s="111" t="s">
        <v>615</v>
      </c>
      <c r="F8" s="110" t="s">
        <v>657</v>
      </c>
      <c r="G8" s="76" t="s">
        <v>31</v>
      </c>
      <c r="H8" s="76" t="s">
        <v>32</v>
      </c>
      <c r="I8" s="76" t="s">
        <v>33</v>
      </c>
      <c r="J8" s="112" t="s">
        <v>121</v>
      </c>
      <c r="K8" s="112" t="s">
        <v>62</v>
      </c>
      <c r="L8" s="69">
        <v>44692</v>
      </c>
      <c r="M8" s="69">
        <v>44694</v>
      </c>
      <c r="N8" s="70">
        <f>900/2</f>
        <v>450</v>
      </c>
      <c r="O8" s="70">
        <f>900/2</f>
        <v>450</v>
      </c>
      <c r="P8" s="70">
        <f t="shared" si="3"/>
        <v>900</v>
      </c>
      <c r="Q8" s="53">
        <v>3</v>
      </c>
      <c r="R8" s="70">
        <v>120</v>
      </c>
      <c r="S8" s="53">
        <v>0</v>
      </c>
      <c r="T8" s="70">
        <v>0</v>
      </c>
      <c r="U8" s="70">
        <f t="shared" si="0"/>
        <v>360</v>
      </c>
      <c r="V8" s="70">
        <f t="shared" si="1"/>
        <v>1260</v>
      </c>
      <c r="W8" s="70">
        <f t="shared" si="2"/>
        <v>1260</v>
      </c>
      <c r="X8" s="44"/>
    </row>
    <row r="9" spans="1:24" ht="14.5" x14ac:dyDescent="0.3">
      <c r="A9" s="110" t="s">
        <v>250</v>
      </c>
      <c r="B9" s="110" t="s">
        <v>322</v>
      </c>
      <c r="C9" s="110" t="s">
        <v>323</v>
      </c>
      <c r="D9" s="47">
        <v>87</v>
      </c>
      <c r="E9" s="111" t="s">
        <v>648</v>
      </c>
      <c r="F9" s="112" t="s">
        <v>654</v>
      </c>
      <c r="G9" s="76" t="s">
        <v>31</v>
      </c>
      <c r="H9" s="76" t="s">
        <v>32</v>
      </c>
      <c r="I9" s="76" t="s">
        <v>33</v>
      </c>
      <c r="J9" s="111" t="s">
        <v>32</v>
      </c>
      <c r="K9" s="111" t="s">
        <v>255</v>
      </c>
      <c r="L9" s="69">
        <v>44692</v>
      </c>
      <c r="M9" s="69">
        <v>44692</v>
      </c>
      <c r="N9" s="70">
        <v>1254.69</v>
      </c>
      <c r="O9" s="70">
        <v>2229.5500000000002</v>
      </c>
      <c r="P9" s="70">
        <f t="shared" si="3"/>
        <v>3484.2400000000002</v>
      </c>
      <c r="Q9" s="53">
        <v>2</v>
      </c>
      <c r="R9" s="70">
        <v>240</v>
      </c>
      <c r="S9" s="53">
        <v>0</v>
      </c>
      <c r="T9" s="70">
        <v>0</v>
      </c>
      <c r="U9" s="70">
        <f t="shared" si="0"/>
        <v>480</v>
      </c>
      <c r="V9" s="70">
        <f t="shared" si="1"/>
        <v>3964.2400000000002</v>
      </c>
      <c r="W9" s="70">
        <f t="shared" si="2"/>
        <v>3964.2400000000002</v>
      </c>
      <c r="X9" s="44"/>
    </row>
    <row r="10" spans="1:24" ht="29" x14ac:dyDescent="0.3">
      <c r="A10" s="110" t="s">
        <v>229</v>
      </c>
      <c r="B10" s="110" t="s">
        <v>229</v>
      </c>
      <c r="C10" s="110" t="s">
        <v>412</v>
      </c>
      <c r="D10" s="47">
        <v>0</v>
      </c>
      <c r="E10" s="111" t="s">
        <v>561</v>
      </c>
      <c r="F10" s="114" t="s">
        <v>655</v>
      </c>
      <c r="G10" s="76" t="s">
        <v>31</v>
      </c>
      <c r="H10" s="76" t="s">
        <v>32</v>
      </c>
      <c r="I10" s="76" t="s">
        <v>33</v>
      </c>
      <c r="J10" s="112" t="s">
        <v>121</v>
      </c>
      <c r="K10" s="112" t="s">
        <v>62</v>
      </c>
      <c r="L10" s="69">
        <v>44692</v>
      </c>
      <c r="M10" s="69">
        <v>44696</v>
      </c>
      <c r="N10" s="70">
        <v>3241.6</v>
      </c>
      <c r="O10" s="70">
        <v>1879.42</v>
      </c>
      <c r="P10" s="70">
        <f t="shared" si="3"/>
        <v>5121.0200000000004</v>
      </c>
      <c r="Q10" s="53">
        <v>0</v>
      </c>
      <c r="R10" s="70">
        <v>0</v>
      </c>
      <c r="S10" s="53">
        <v>0</v>
      </c>
      <c r="T10" s="70">
        <v>0</v>
      </c>
      <c r="U10" s="70">
        <f t="shared" si="0"/>
        <v>0</v>
      </c>
      <c r="V10" s="70">
        <f t="shared" si="1"/>
        <v>5121.0200000000004</v>
      </c>
      <c r="W10" s="70">
        <f t="shared" si="2"/>
        <v>5121.0200000000004</v>
      </c>
      <c r="X10" s="44"/>
    </row>
    <row r="11" spans="1:24" ht="29" x14ac:dyDescent="0.3">
      <c r="A11" s="110" t="s">
        <v>229</v>
      </c>
      <c r="B11" s="112" t="s">
        <v>658</v>
      </c>
      <c r="C11" s="110" t="s">
        <v>448</v>
      </c>
      <c r="D11" s="47">
        <v>0</v>
      </c>
      <c r="E11" s="111"/>
      <c r="F11" s="114" t="s">
        <v>655</v>
      </c>
      <c r="G11" s="76" t="s">
        <v>31</v>
      </c>
      <c r="H11" s="76" t="s">
        <v>32</v>
      </c>
      <c r="I11" s="76" t="s">
        <v>33</v>
      </c>
      <c r="J11" s="112" t="s">
        <v>121</v>
      </c>
      <c r="K11" s="112" t="s">
        <v>62</v>
      </c>
      <c r="L11" s="69">
        <v>44692</v>
      </c>
      <c r="M11" s="69">
        <v>44696</v>
      </c>
      <c r="N11" s="70">
        <v>3241.6</v>
      </c>
      <c r="O11" s="70">
        <v>1879.42</v>
      </c>
      <c r="P11" s="70">
        <f t="shared" si="3"/>
        <v>5121.0200000000004</v>
      </c>
      <c r="Q11" s="53">
        <v>0</v>
      </c>
      <c r="R11" s="70">
        <v>0</v>
      </c>
      <c r="S11" s="53">
        <v>0</v>
      </c>
      <c r="T11" s="70">
        <v>0</v>
      </c>
      <c r="U11" s="70">
        <f t="shared" si="0"/>
        <v>0</v>
      </c>
      <c r="V11" s="70">
        <f t="shared" si="1"/>
        <v>5121.0200000000004</v>
      </c>
      <c r="W11" s="70">
        <f t="shared" si="2"/>
        <v>5121.0200000000004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X6"/>
  <sheetViews>
    <sheetView topLeftCell="B1"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92"/>
      <c r="B4" s="392"/>
      <c r="C4" s="392"/>
      <c r="D4" s="392"/>
      <c r="E4" s="392"/>
      <c r="F4" s="392"/>
      <c r="G4" s="392"/>
      <c r="H4" s="10" t="s">
        <v>27</v>
      </c>
      <c r="I4" s="10" t="s">
        <v>28</v>
      </c>
      <c r="J4" s="10" t="s">
        <v>27</v>
      </c>
      <c r="K4" s="11" t="s">
        <v>29</v>
      </c>
      <c r="L4" s="392"/>
      <c r="M4" s="392"/>
      <c r="N4" s="393"/>
      <c r="O4" s="393"/>
      <c r="P4" s="393"/>
      <c r="Q4" s="10" t="s">
        <v>2</v>
      </c>
      <c r="R4" s="11" t="s">
        <v>30</v>
      </c>
      <c r="S4" s="10" t="s">
        <v>2</v>
      </c>
      <c r="T4" s="11" t="s">
        <v>30</v>
      </c>
      <c r="U4" s="392"/>
      <c r="V4" s="393"/>
      <c r="W4" s="394"/>
      <c r="X4" s="391"/>
    </row>
    <row r="5" spans="1:24" ht="14.5" x14ac:dyDescent="0.3">
      <c r="A5" s="110" t="s">
        <v>250</v>
      </c>
      <c r="B5" s="115" t="s">
        <v>322</v>
      </c>
      <c r="C5" s="115" t="s">
        <v>323</v>
      </c>
      <c r="D5" s="47">
        <v>87</v>
      </c>
      <c r="E5" s="111" t="s">
        <v>648</v>
      </c>
      <c r="F5" s="115" t="s">
        <v>662</v>
      </c>
      <c r="G5" s="76" t="s">
        <v>31</v>
      </c>
      <c r="H5" s="76" t="s">
        <v>32</v>
      </c>
      <c r="I5" s="76" t="s">
        <v>33</v>
      </c>
      <c r="J5" s="112" t="s">
        <v>121</v>
      </c>
      <c r="K5" s="112" t="s">
        <v>62</v>
      </c>
      <c r="L5" s="69">
        <v>44741</v>
      </c>
      <c r="M5" s="69">
        <v>44742</v>
      </c>
      <c r="N5" s="70">
        <f>1623.42/2</f>
        <v>811.71</v>
      </c>
      <c r="O5" s="70">
        <f>1623.42/2</f>
        <v>811.71</v>
      </c>
      <c r="P5" s="70">
        <f>SUM(N5:O5)</f>
        <v>1623.42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6" si="0">(Q5*R5)+(S5*T5)</f>
        <v>240</v>
      </c>
      <c r="V5" s="70">
        <f t="shared" ref="V5:V6" si="1">U5+P5</f>
        <v>1863.42</v>
      </c>
      <c r="W5" s="70">
        <f t="shared" ref="W5:W6" si="2">V5</f>
        <v>1863.42</v>
      </c>
      <c r="X5" s="53"/>
    </row>
    <row r="6" spans="1:24" ht="14.5" x14ac:dyDescent="0.3">
      <c r="A6" s="110" t="s">
        <v>250</v>
      </c>
      <c r="B6" s="110" t="s">
        <v>250</v>
      </c>
      <c r="C6" s="110" t="s">
        <v>319</v>
      </c>
      <c r="D6" s="47" t="s">
        <v>633</v>
      </c>
      <c r="E6" s="111" t="s">
        <v>87</v>
      </c>
      <c r="F6" s="116" t="s">
        <v>661</v>
      </c>
      <c r="G6" s="76" t="s">
        <v>31</v>
      </c>
      <c r="H6" s="76" t="s">
        <v>32</v>
      </c>
      <c r="I6" s="76" t="s">
        <v>33</v>
      </c>
      <c r="J6" s="115" t="s">
        <v>659</v>
      </c>
      <c r="K6" s="115" t="s">
        <v>660</v>
      </c>
      <c r="L6" s="69">
        <v>44741</v>
      </c>
      <c r="M6" s="69">
        <v>44743</v>
      </c>
      <c r="N6" s="70">
        <f>1881.08/2</f>
        <v>940.54</v>
      </c>
      <c r="O6" s="70">
        <f>1881.08/2</f>
        <v>940.54</v>
      </c>
      <c r="P6" s="70">
        <f>SUM(N6:O6)</f>
        <v>1881.08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2241.08</v>
      </c>
      <c r="W6" s="70">
        <f t="shared" si="2"/>
        <v>2241.08</v>
      </c>
      <c r="X6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X5"/>
  <sheetViews>
    <sheetView topLeftCell="B1"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92"/>
      <c r="B4" s="392"/>
      <c r="C4" s="392"/>
      <c r="D4" s="392"/>
      <c r="E4" s="392"/>
      <c r="F4" s="392"/>
      <c r="G4" s="392"/>
      <c r="H4" s="10" t="s">
        <v>27</v>
      </c>
      <c r="I4" s="10" t="s">
        <v>28</v>
      </c>
      <c r="J4" s="10" t="s">
        <v>27</v>
      </c>
      <c r="K4" s="11" t="s">
        <v>29</v>
      </c>
      <c r="L4" s="392"/>
      <c r="M4" s="392"/>
      <c r="N4" s="393"/>
      <c r="O4" s="393"/>
      <c r="P4" s="393"/>
      <c r="Q4" s="10" t="s">
        <v>2</v>
      </c>
      <c r="R4" s="11" t="s">
        <v>30</v>
      </c>
      <c r="S4" s="10" t="s">
        <v>2</v>
      </c>
      <c r="T4" s="11" t="s">
        <v>30</v>
      </c>
      <c r="U4" s="392"/>
      <c r="V4" s="393"/>
      <c r="W4" s="394"/>
      <c r="X4" s="391"/>
    </row>
    <row r="5" spans="1:24" s="119" customFormat="1" ht="14.5" x14ac:dyDescent="0.3">
      <c r="A5" s="110" t="s">
        <v>229</v>
      </c>
      <c r="B5" s="110" t="s">
        <v>215</v>
      </c>
      <c r="C5" s="110" t="s">
        <v>276</v>
      </c>
      <c r="D5" s="79">
        <v>157</v>
      </c>
      <c r="E5" s="79" t="s">
        <v>664</v>
      </c>
      <c r="F5" s="79" t="s">
        <v>663</v>
      </c>
      <c r="G5" s="76" t="s">
        <v>31</v>
      </c>
      <c r="H5" s="76" t="s">
        <v>32</v>
      </c>
      <c r="I5" s="76" t="s">
        <v>33</v>
      </c>
      <c r="J5" s="76" t="s">
        <v>364</v>
      </c>
      <c r="K5" s="76" t="s">
        <v>363</v>
      </c>
      <c r="L5" s="117">
        <v>44770</v>
      </c>
      <c r="M5" s="117">
        <v>44771</v>
      </c>
      <c r="N5" s="79">
        <f>1417.14/2</f>
        <v>708.57</v>
      </c>
      <c r="O5" s="79">
        <f>1417.14/2</f>
        <v>708.57</v>
      </c>
      <c r="P5" s="70">
        <f>SUM(N5:O5)</f>
        <v>1417.14</v>
      </c>
      <c r="Q5" s="79">
        <v>4</v>
      </c>
      <c r="R5" s="118">
        <v>120</v>
      </c>
      <c r="S5" s="79">
        <v>0</v>
      </c>
      <c r="T5" s="118">
        <v>0</v>
      </c>
      <c r="U5" s="70">
        <f t="shared" ref="U5" si="0">(Q5*R5)+(S5*T5)</f>
        <v>480</v>
      </c>
      <c r="V5" s="70">
        <f>U5+P5</f>
        <v>1897.14</v>
      </c>
      <c r="W5" s="70">
        <f>V5</f>
        <v>1897.14</v>
      </c>
      <c r="X5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X12"/>
  <sheetViews>
    <sheetView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92"/>
      <c r="B4" s="392"/>
      <c r="C4" s="392"/>
      <c r="D4" s="392"/>
      <c r="E4" s="392"/>
      <c r="F4" s="392"/>
      <c r="G4" s="392"/>
      <c r="H4" s="10" t="s">
        <v>27</v>
      </c>
      <c r="I4" s="10" t="s">
        <v>28</v>
      </c>
      <c r="J4" s="10" t="s">
        <v>27</v>
      </c>
      <c r="K4" s="11" t="s">
        <v>29</v>
      </c>
      <c r="L4" s="392"/>
      <c r="M4" s="392"/>
      <c r="N4" s="393"/>
      <c r="O4" s="393"/>
      <c r="P4" s="393"/>
      <c r="Q4" s="10" t="s">
        <v>2</v>
      </c>
      <c r="R4" s="11" t="s">
        <v>30</v>
      </c>
      <c r="S4" s="10" t="s">
        <v>2</v>
      </c>
      <c r="T4" s="11" t="s">
        <v>30</v>
      </c>
      <c r="U4" s="392"/>
      <c r="V4" s="393"/>
      <c r="W4" s="394"/>
      <c r="X4" s="391"/>
    </row>
    <row r="5" spans="1:24" s="119" customFormat="1" ht="14.5" x14ac:dyDescent="0.3">
      <c r="A5" s="110" t="s">
        <v>597</v>
      </c>
      <c r="B5" s="110" t="s">
        <v>301</v>
      </c>
      <c r="C5" s="110" t="s">
        <v>608</v>
      </c>
      <c r="D5" s="47">
        <v>355</v>
      </c>
      <c r="E5" s="110" t="s">
        <v>313</v>
      </c>
      <c r="F5" s="79" t="s">
        <v>666</v>
      </c>
      <c r="G5" s="76" t="s">
        <v>31</v>
      </c>
      <c r="H5" s="76" t="s">
        <v>32</v>
      </c>
      <c r="I5" s="76" t="s">
        <v>33</v>
      </c>
      <c r="J5" s="76" t="s">
        <v>111</v>
      </c>
      <c r="K5" s="76" t="s">
        <v>112</v>
      </c>
      <c r="L5" s="117">
        <v>44783</v>
      </c>
      <c r="M5" s="117">
        <v>44786</v>
      </c>
      <c r="N5" s="79">
        <f>938.66/2</f>
        <v>469.33</v>
      </c>
      <c r="O5" s="79">
        <f>938.66/2</f>
        <v>469.33</v>
      </c>
      <c r="P5" s="70">
        <f>SUM(N5:O5)</f>
        <v>938.66</v>
      </c>
      <c r="Q5" s="79">
        <v>4</v>
      </c>
      <c r="R5" s="118">
        <v>120</v>
      </c>
      <c r="S5" s="79">
        <v>0</v>
      </c>
      <c r="T5" s="118">
        <v>0</v>
      </c>
      <c r="U5" s="70">
        <f>Q5*R5+S5*T5</f>
        <v>480</v>
      </c>
      <c r="V5" s="70">
        <f>P5+U5</f>
        <v>1418.6599999999999</v>
      </c>
      <c r="W5" s="70">
        <f>V5</f>
        <v>1418.6599999999999</v>
      </c>
      <c r="X5" s="79"/>
    </row>
    <row r="6" spans="1:24" s="119" customFormat="1" ht="14.5" x14ac:dyDescent="0.3">
      <c r="A6" s="110" t="s">
        <v>597</v>
      </c>
      <c r="B6" s="110" t="s">
        <v>597</v>
      </c>
      <c r="C6" s="110" t="s">
        <v>412</v>
      </c>
      <c r="D6" s="47">
        <v>0</v>
      </c>
      <c r="E6" s="110" t="s">
        <v>561</v>
      </c>
      <c r="F6" s="79" t="s">
        <v>666</v>
      </c>
      <c r="G6" s="76" t="s">
        <v>31</v>
      </c>
      <c r="H6" s="76" t="s">
        <v>32</v>
      </c>
      <c r="I6" s="76" t="s">
        <v>33</v>
      </c>
      <c r="J6" s="76" t="s">
        <v>111</v>
      </c>
      <c r="K6" s="76" t="s">
        <v>112</v>
      </c>
      <c r="L6" s="117">
        <v>44783</v>
      </c>
      <c r="M6" s="117">
        <v>44786</v>
      </c>
      <c r="N6" s="79">
        <f>938.66/2</f>
        <v>469.33</v>
      </c>
      <c r="O6" s="79">
        <f>938.66/2</f>
        <v>469.33</v>
      </c>
      <c r="P6" s="70">
        <f t="shared" ref="P6:P11" si="0">SUM(N6:O6)</f>
        <v>938.66</v>
      </c>
      <c r="Q6" s="79">
        <v>0</v>
      </c>
      <c r="R6" s="118">
        <v>0</v>
      </c>
      <c r="S6" s="79">
        <v>0</v>
      </c>
      <c r="T6" s="118">
        <v>0</v>
      </c>
      <c r="U6" s="70">
        <f t="shared" ref="U6:U12" si="1">Q6*R6+S6*T6</f>
        <v>0</v>
      </c>
      <c r="V6" s="70">
        <f t="shared" ref="V6:V12" si="2">P6+U6</f>
        <v>938.66</v>
      </c>
      <c r="W6" s="70">
        <f t="shared" ref="W6:W12" si="3">V6</f>
        <v>938.66</v>
      </c>
      <c r="X6" s="79"/>
    </row>
    <row r="7" spans="1:24" s="119" customFormat="1" ht="14.5" x14ac:dyDescent="0.3">
      <c r="A7" s="110" t="s">
        <v>372</v>
      </c>
      <c r="B7" s="110" t="s">
        <v>238</v>
      </c>
      <c r="C7" s="110" t="s">
        <v>135</v>
      </c>
      <c r="D7" s="47">
        <v>230</v>
      </c>
      <c r="E7" s="110" t="s">
        <v>152</v>
      </c>
      <c r="F7" s="79" t="s">
        <v>667</v>
      </c>
      <c r="G7" s="76" t="s">
        <v>31</v>
      </c>
      <c r="H7" s="76" t="s">
        <v>32</v>
      </c>
      <c r="I7" s="76" t="s">
        <v>33</v>
      </c>
      <c r="J7" s="76" t="s">
        <v>38</v>
      </c>
      <c r="K7" s="76" t="s">
        <v>39</v>
      </c>
      <c r="L7" s="117">
        <v>44780</v>
      </c>
      <c r="M7" s="117">
        <v>44782</v>
      </c>
      <c r="N7" s="79">
        <f>1453.97/2</f>
        <v>726.98500000000001</v>
      </c>
      <c r="O7" s="79">
        <f>1453.97/2</f>
        <v>726.98500000000001</v>
      </c>
      <c r="P7" s="70">
        <f t="shared" si="0"/>
        <v>1453.97</v>
      </c>
      <c r="Q7" s="79">
        <v>7</v>
      </c>
      <c r="R7" s="118">
        <v>120</v>
      </c>
      <c r="S7" s="79">
        <v>0</v>
      </c>
      <c r="T7" s="118">
        <v>0</v>
      </c>
      <c r="U7" s="70">
        <f t="shared" si="1"/>
        <v>840</v>
      </c>
      <c r="V7" s="70">
        <f t="shared" si="2"/>
        <v>2293.9700000000003</v>
      </c>
      <c r="W7" s="70">
        <f t="shared" si="3"/>
        <v>2293.9700000000003</v>
      </c>
      <c r="X7" s="79"/>
    </row>
    <row r="8" spans="1:24" s="119" customFormat="1" ht="28" x14ac:dyDescent="0.3">
      <c r="A8" s="110" t="s">
        <v>250</v>
      </c>
      <c r="B8" s="110" t="s">
        <v>289</v>
      </c>
      <c r="C8" s="110" t="s">
        <v>340</v>
      </c>
      <c r="D8" s="47">
        <v>74</v>
      </c>
      <c r="E8" s="110" t="s">
        <v>536</v>
      </c>
      <c r="F8" s="120" t="s">
        <v>668</v>
      </c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117">
        <v>44778</v>
      </c>
      <c r="M8" s="117">
        <v>44796</v>
      </c>
      <c r="N8" s="79">
        <f>1468.46/2</f>
        <v>734.23</v>
      </c>
      <c r="O8" s="79">
        <f>1468.46/2</f>
        <v>734.23</v>
      </c>
      <c r="P8" s="70">
        <f t="shared" si="0"/>
        <v>1468.46</v>
      </c>
      <c r="Q8" s="79">
        <v>19</v>
      </c>
      <c r="R8" s="118">
        <v>120</v>
      </c>
      <c r="S8" s="79">
        <v>0</v>
      </c>
      <c r="T8" s="118">
        <v>0</v>
      </c>
      <c r="U8" s="70">
        <f t="shared" si="1"/>
        <v>2280</v>
      </c>
      <c r="V8" s="70">
        <f t="shared" si="2"/>
        <v>3748.46</v>
      </c>
      <c r="W8" s="70">
        <f t="shared" si="3"/>
        <v>3748.46</v>
      </c>
      <c r="X8" s="79"/>
    </row>
    <row r="9" spans="1:24" s="119" customFormat="1" ht="14.5" x14ac:dyDescent="0.3">
      <c r="A9" s="110" t="s">
        <v>250</v>
      </c>
      <c r="B9" s="110" t="s">
        <v>250</v>
      </c>
      <c r="C9" s="110" t="s">
        <v>378</v>
      </c>
      <c r="D9" s="47">
        <v>0</v>
      </c>
      <c r="E9" s="110" t="s">
        <v>87</v>
      </c>
      <c r="F9" s="79" t="s">
        <v>666</v>
      </c>
      <c r="G9" s="76" t="s">
        <v>31</v>
      </c>
      <c r="H9" s="76" t="s">
        <v>32</v>
      </c>
      <c r="I9" s="76" t="s">
        <v>33</v>
      </c>
      <c r="J9" s="76" t="s">
        <v>111</v>
      </c>
      <c r="K9" s="76" t="s">
        <v>112</v>
      </c>
      <c r="L9" s="117">
        <v>44783</v>
      </c>
      <c r="M9" s="117">
        <v>44785</v>
      </c>
      <c r="N9" s="79">
        <f>1281.31/2</f>
        <v>640.65499999999997</v>
      </c>
      <c r="O9" s="79">
        <f>1281.31/2</f>
        <v>640.65499999999997</v>
      </c>
      <c r="P9" s="70">
        <f t="shared" si="0"/>
        <v>1281.31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1281.31</v>
      </c>
      <c r="W9" s="70">
        <f t="shared" si="3"/>
        <v>1281.31</v>
      </c>
      <c r="X9" s="79"/>
    </row>
    <row r="10" spans="1:24" s="119" customFormat="1" ht="14.5" x14ac:dyDescent="0.3">
      <c r="A10" s="110" t="s">
        <v>597</v>
      </c>
      <c r="B10" s="110" t="s">
        <v>215</v>
      </c>
      <c r="C10" s="110" t="s">
        <v>48</v>
      </c>
      <c r="D10" s="47">
        <v>56</v>
      </c>
      <c r="E10" s="110" t="s">
        <v>615</v>
      </c>
      <c r="F10" s="79" t="s">
        <v>666</v>
      </c>
      <c r="G10" s="76" t="s">
        <v>31</v>
      </c>
      <c r="H10" s="76" t="s">
        <v>32</v>
      </c>
      <c r="I10" s="76" t="s">
        <v>33</v>
      </c>
      <c r="J10" s="76" t="s">
        <v>111</v>
      </c>
      <c r="K10" s="76" t="s">
        <v>112</v>
      </c>
      <c r="L10" s="117">
        <v>44783</v>
      </c>
      <c r="M10" s="117">
        <v>44785</v>
      </c>
      <c r="N10" s="79">
        <f>1494.92/2</f>
        <v>747.46</v>
      </c>
      <c r="O10" s="79">
        <f>1494.92/2</f>
        <v>747.46</v>
      </c>
      <c r="P10" s="70">
        <f t="shared" si="0"/>
        <v>1494.92</v>
      </c>
      <c r="Q10" s="79">
        <v>3</v>
      </c>
      <c r="R10" s="118">
        <v>120</v>
      </c>
      <c r="S10" s="79"/>
      <c r="T10" s="118"/>
      <c r="U10" s="70">
        <f t="shared" si="1"/>
        <v>360</v>
      </c>
      <c r="V10" s="70">
        <f t="shared" si="2"/>
        <v>1854.92</v>
      </c>
      <c r="W10" s="70">
        <f t="shared" si="3"/>
        <v>1854.92</v>
      </c>
      <c r="X10" s="79"/>
    </row>
    <row r="11" spans="1:24" s="119" customFormat="1" ht="14.5" x14ac:dyDescent="0.3">
      <c r="A11" s="110" t="s">
        <v>597</v>
      </c>
      <c r="B11" s="110" t="s">
        <v>461</v>
      </c>
      <c r="C11" s="110" t="s">
        <v>396</v>
      </c>
      <c r="D11" s="47">
        <v>349</v>
      </c>
      <c r="E11" s="110" t="s">
        <v>406</v>
      </c>
      <c r="F11" s="79" t="s">
        <v>669</v>
      </c>
      <c r="G11" s="76" t="s">
        <v>31</v>
      </c>
      <c r="H11" s="76" t="s">
        <v>32</v>
      </c>
      <c r="I11" s="76" t="s">
        <v>33</v>
      </c>
      <c r="J11" s="76" t="s">
        <v>195</v>
      </c>
      <c r="K11" s="76" t="s">
        <v>665</v>
      </c>
      <c r="L11" s="117">
        <v>44794</v>
      </c>
      <c r="M11" s="117">
        <v>44798</v>
      </c>
      <c r="N11" s="79">
        <f>4132.8/2</f>
        <v>2066.4</v>
      </c>
      <c r="O11" s="79">
        <f>4132.8/2</f>
        <v>2066.4</v>
      </c>
      <c r="P11" s="70">
        <f t="shared" si="0"/>
        <v>4132.8</v>
      </c>
      <c r="Q11" s="79">
        <v>5</v>
      </c>
      <c r="R11" s="118">
        <v>120</v>
      </c>
      <c r="S11" s="79">
        <v>0</v>
      </c>
      <c r="T11" s="118">
        <v>0</v>
      </c>
      <c r="U11" s="70">
        <f t="shared" si="1"/>
        <v>600</v>
      </c>
      <c r="V11" s="70">
        <f t="shared" si="2"/>
        <v>4732.8</v>
      </c>
      <c r="W11" s="70">
        <f t="shared" si="3"/>
        <v>4732.8</v>
      </c>
      <c r="X11" s="79"/>
    </row>
    <row r="12" spans="1:24" s="119" customFormat="1" ht="14.5" x14ac:dyDescent="0.3">
      <c r="A12" s="110" t="s">
        <v>372</v>
      </c>
      <c r="B12" s="110" t="s">
        <v>372</v>
      </c>
      <c r="C12" s="110" t="s">
        <v>75</v>
      </c>
      <c r="D12" s="47">
        <v>0</v>
      </c>
      <c r="E12" s="110" t="s">
        <v>88</v>
      </c>
      <c r="F12" s="79" t="s">
        <v>667</v>
      </c>
      <c r="G12" s="76" t="s">
        <v>31</v>
      </c>
      <c r="H12" s="76" t="s">
        <v>111</v>
      </c>
      <c r="I12" s="76" t="s">
        <v>112</v>
      </c>
      <c r="J12" s="76" t="s">
        <v>38</v>
      </c>
      <c r="K12" s="76" t="s">
        <v>39</v>
      </c>
      <c r="L12" s="117">
        <v>44781</v>
      </c>
      <c r="M12" s="117">
        <v>44782</v>
      </c>
      <c r="N12" s="79">
        <f>(1670.82+834.23)/2</f>
        <v>1252.5250000000001</v>
      </c>
      <c r="O12" s="79">
        <f>(1670.82+834.23)/2</f>
        <v>1252.5250000000001</v>
      </c>
      <c r="P12" s="70">
        <f>SUM(N12:O12)</f>
        <v>2505.0500000000002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2505.0500000000002</v>
      </c>
      <c r="W12" s="70">
        <f t="shared" si="3"/>
        <v>2505.0500000000002</v>
      </c>
      <c r="X12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29"/>
  <sheetViews>
    <sheetView workbookViewId="0">
      <selection activeCell="E13" sqref="E13"/>
    </sheetView>
  </sheetViews>
  <sheetFormatPr defaultRowHeight="15" customHeight="1" x14ac:dyDescent="0.3"/>
  <cols>
    <col min="1" max="1" width="8.58203125" customWidth="1"/>
    <col min="2" max="2" width="15.3320312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6" t="s">
        <v>0</v>
      </c>
      <c r="W5" s="336"/>
      <c r="X5" s="8">
        <v>43009</v>
      </c>
    </row>
    <row r="6" spans="1:24" ht="14" x14ac:dyDescent="0.3">
      <c r="A6" s="337" t="s">
        <v>4</v>
      </c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</row>
    <row r="7" spans="1:24" ht="14" x14ac:dyDescent="0.3">
      <c r="A7" s="337" t="s">
        <v>5</v>
      </c>
      <c r="B7" s="337"/>
      <c r="C7" s="337" t="s">
        <v>6</v>
      </c>
      <c r="D7" s="337"/>
      <c r="E7" s="337"/>
      <c r="F7" s="337" t="s">
        <v>3</v>
      </c>
      <c r="G7" s="337"/>
      <c r="H7" s="337"/>
      <c r="I7" s="337"/>
      <c r="J7" s="337"/>
      <c r="K7" s="337"/>
      <c r="L7" s="337"/>
      <c r="M7" s="337"/>
      <c r="N7" s="337" t="s">
        <v>7</v>
      </c>
      <c r="O7" s="337"/>
      <c r="P7" s="337"/>
      <c r="Q7" s="337" t="s">
        <v>1</v>
      </c>
      <c r="R7" s="337"/>
      <c r="S7" s="337"/>
      <c r="T7" s="337"/>
      <c r="U7" s="337"/>
      <c r="V7" s="337"/>
      <c r="W7" s="337" t="s">
        <v>8</v>
      </c>
      <c r="X7" s="337" t="s">
        <v>9</v>
      </c>
    </row>
    <row r="8" spans="1:24" s="9" customFormat="1" ht="14" x14ac:dyDescent="0.3">
      <c r="A8" s="338" t="s">
        <v>10</v>
      </c>
      <c r="B8" s="338" t="s">
        <v>11</v>
      </c>
      <c r="C8" s="338" t="s">
        <v>12</v>
      </c>
      <c r="D8" s="338" t="s">
        <v>13</v>
      </c>
      <c r="E8" s="338" t="s">
        <v>14</v>
      </c>
      <c r="F8" s="338" t="s">
        <v>15</v>
      </c>
      <c r="G8" s="338" t="s">
        <v>16</v>
      </c>
      <c r="H8" s="338" t="s">
        <v>17</v>
      </c>
      <c r="I8" s="338"/>
      <c r="J8" s="339" t="s">
        <v>18</v>
      </c>
      <c r="K8" s="339"/>
      <c r="L8" s="338" t="s">
        <v>19</v>
      </c>
      <c r="M8" s="338" t="s">
        <v>20</v>
      </c>
      <c r="N8" s="339" t="s">
        <v>21</v>
      </c>
      <c r="O8" s="339" t="s">
        <v>22</v>
      </c>
      <c r="P8" s="339" t="s">
        <v>23</v>
      </c>
      <c r="Q8" s="339" t="s">
        <v>24</v>
      </c>
      <c r="R8" s="339"/>
      <c r="S8" s="339" t="s">
        <v>25</v>
      </c>
      <c r="T8" s="339"/>
      <c r="U8" s="338" t="s">
        <v>26</v>
      </c>
      <c r="V8" s="339" t="s">
        <v>23</v>
      </c>
      <c r="W8" s="337"/>
      <c r="X8" s="337"/>
    </row>
    <row r="9" spans="1:24" s="9" customFormat="1" ht="14" x14ac:dyDescent="0.3">
      <c r="A9" s="338"/>
      <c r="B9" s="338"/>
      <c r="C9" s="338"/>
      <c r="D9" s="338"/>
      <c r="E9" s="338"/>
      <c r="F9" s="338"/>
      <c r="G9" s="338"/>
      <c r="H9" s="10" t="s">
        <v>27</v>
      </c>
      <c r="I9" s="10" t="s">
        <v>28</v>
      </c>
      <c r="J9" s="10" t="s">
        <v>27</v>
      </c>
      <c r="K9" s="11" t="s">
        <v>29</v>
      </c>
      <c r="L9" s="338"/>
      <c r="M9" s="338"/>
      <c r="N9" s="339"/>
      <c r="O9" s="339"/>
      <c r="P9" s="339"/>
      <c r="Q9" s="10" t="s">
        <v>2</v>
      </c>
      <c r="R9" s="11" t="s">
        <v>30</v>
      </c>
      <c r="S9" s="10" t="s">
        <v>2</v>
      </c>
      <c r="T9" s="11" t="s">
        <v>30</v>
      </c>
      <c r="U9" s="338"/>
      <c r="V9" s="339"/>
      <c r="W9" s="337"/>
      <c r="X9" s="337"/>
    </row>
    <row r="10" spans="1:24" ht="50" x14ac:dyDescent="0.3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0" x14ac:dyDescent="0.3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0" x14ac:dyDescent="0.3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" x14ac:dyDescent="0.3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7.5" x14ac:dyDescent="0.3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" x14ac:dyDescent="0.3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" x14ac:dyDescent="0.3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" x14ac:dyDescent="0.3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" x14ac:dyDescent="0.3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" x14ac:dyDescent="0.3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" x14ac:dyDescent="0.3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" x14ac:dyDescent="0.3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" x14ac:dyDescent="0.3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" x14ac:dyDescent="0.3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" x14ac:dyDescent="0.3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" x14ac:dyDescent="0.3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" x14ac:dyDescent="0.3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" x14ac:dyDescent="0.3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" x14ac:dyDescent="0.3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" x14ac:dyDescent="0.3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X8"/>
  <sheetViews>
    <sheetView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92"/>
      <c r="B4" s="392"/>
      <c r="C4" s="392"/>
      <c r="D4" s="392"/>
      <c r="E4" s="392"/>
      <c r="F4" s="392"/>
      <c r="G4" s="392"/>
      <c r="H4" s="10" t="s">
        <v>27</v>
      </c>
      <c r="I4" s="10" t="s">
        <v>28</v>
      </c>
      <c r="J4" s="10" t="s">
        <v>27</v>
      </c>
      <c r="K4" s="11" t="s">
        <v>29</v>
      </c>
      <c r="L4" s="392"/>
      <c r="M4" s="392"/>
      <c r="N4" s="393"/>
      <c r="O4" s="393"/>
      <c r="P4" s="393"/>
      <c r="Q4" s="10" t="s">
        <v>2</v>
      </c>
      <c r="R4" s="11" t="s">
        <v>30</v>
      </c>
      <c r="S4" s="10" t="s">
        <v>2</v>
      </c>
      <c r="T4" s="11" t="s">
        <v>30</v>
      </c>
      <c r="U4" s="392"/>
      <c r="V4" s="393"/>
      <c r="W4" s="394"/>
      <c r="X4" s="391"/>
    </row>
    <row r="5" spans="1:24" s="119" customFormat="1" ht="14.5" x14ac:dyDescent="0.3">
      <c r="A5" s="110" t="s">
        <v>372</v>
      </c>
      <c r="B5" s="110" t="s">
        <v>398</v>
      </c>
      <c r="C5" s="110" t="s">
        <v>266</v>
      </c>
      <c r="D5" s="47">
        <v>284</v>
      </c>
      <c r="E5" s="122" t="s">
        <v>674</v>
      </c>
      <c r="F5" s="79" t="s">
        <v>671</v>
      </c>
      <c r="G5" s="76" t="s">
        <v>31</v>
      </c>
      <c r="H5" s="76" t="s">
        <v>32</v>
      </c>
      <c r="I5" s="76" t="s">
        <v>33</v>
      </c>
      <c r="J5" s="121" t="s">
        <v>659</v>
      </c>
      <c r="K5" s="76" t="s">
        <v>660</v>
      </c>
      <c r="L5" s="117">
        <v>44823</v>
      </c>
      <c r="M5" s="117">
        <v>44827</v>
      </c>
      <c r="N5" s="118">
        <f>1212.43/2</f>
        <v>606.21500000000003</v>
      </c>
      <c r="O5" s="118">
        <f>1212.43/2</f>
        <v>606.21500000000003</v>
      </c>
      <c r="P5" s="70">
        <f>SUM(N5:O5)</f>
        <v>1212.43</v>
      </c>
      <c r="Q5" s="79">
        <v>5</v>
      </c>
      <c r="R5" s="118">
        <v>120</v>
      </c>
      <c r="S5" s="79">
        <v>0</v>
      </c>
      <c r="T5" s="118">
        <v>0</v>
      </c>
      <c r="U5" s="70">
        <f>Q5*R5+S5*T5</f>
        <v>600</v>
      </c>
      <c r="V5" s="70">
        <f>P5+U5</f>
        <v>1812.43</v>
      </c>
      <c r="W5" s="70">
        <f>V5</f>
        <v>1812.43</v>
      </c>
      <c r="X5" s="79"/>
    </row>
    <row r="6" spans="1:24" s="119" customFormat="1" ht="14.5" x14ac:dyDescent="0.3">
      <c r="A6" s="110" t="s">
        <v>250</v>
      </c>
      <c r="B6" s="110" t="s">
        <v>289</v>
      </c>
      <c r="C6" s="110" t="s">
        <v>168</v>
      </c>
      <c r="D6" s="47">
        <v>127</v>
      </c>
      <c r="E6" s="122" t="s">
        <v>675</v>
      </c>
      <c r="F6" s="79" t="s">
        <v>671</v>
      </c>
      <c r="G6" s="76" t="s">
        <v>31</v>
      </c>
      <c r="H6" s="76" t="s">
        <v>32</v>
      </c>
      <c r="I6" s="76" t="s">
        <v>33</v>
      </c>
      <c r="J6" s="121" t="s">
        <v>659</v>
      </c>
      <c r="K6" s="76" t="s">
        <v>660</v>
      </c>
      <c r="L6" s="117">
        <v>44823</v>
      </c>
      <c r="M6" s="117">
        <v>44827</v>
      </c>
      <c r="N6" s="118">
        <f>1212.43/2</f>
        <v>606.21500000000003</v>
      </c>
      <c r="O6" s="118">
        <f>1212.43/2</f>
        <v>606.21500000000003</v>
      </c>
      <c r="P6" s="70">
        <f t="shared" ref="P6:P8" si="0">SUM(N6:O6)</f>
        <v>1212.43</v>
      </c>
      <c r="Q6" s="79">
        <v>5</v>
      </c>
      <c r="R6" s="118">
        <v>120</v>
      </c>
      <c r="S6" s="79">
        <v>0</v>
      </c>
      <c r="T6" s="118">
        <v>0</v>
      </c>
      <c r="U6" s="70">
        <f t="shared" ref="U6:U8" si="1">Q6*R6+S6*T6</f>
        <v>600</v>
      </c>
      <c r="V6" s="70">
        <f t="shared" ref="V6:V8" si="2">P6+U6</f>
        <v>1812.43</v>
      </c>
      <c r="W6" s="70">
        <f t="shared" ref="W6:W8" si="3">V6</f>
        <v>1812.43</v>
      </c>
      <c r="X6" s="79"/>
    </row>
    <row r="7" spans="1:24" s="119" customFormat="1" ht="14.5" x14ac:dyDescent="0.3">
      <c r="A7" s="110" t="s">
        <v>250</v>
      </c>
      <c r="B7" s="110" t="s">
        <v>258</v>
      </c>
      <c r="C7" s="110" t="s">
        <v>609</v>
      </c>
      <c r="D7" s="47">
        <v>372</v>
      </c>
      <c r="E7" s="122" t="s">
        <v>676</v>
      </c>
      <c r="F7" s="79" t="s">
        <v>672</v>
      </c>
      <c r="G7" s="76" t="s">
        <v>31</v>
      </c>
      <c r="H7" s="76" t="s">
        <v>32</v>
      </c>
      <c r="I7" s="76" t="s">
        <v>33</v>
      </c>
      <c r="J7" s="121" t="s">
        <v>38</v>
      </c>
      <c r="K7" s="121" t="s">
        <v>39</v>
      </c>
      <c r="L7" s="117">
        <v>44825</v>
      </c>
      <c r="M7" s="117">
        <v>44826</v>
      </c>
      <c r="N7" s="118">
        <v>1453.97</v>
      </c>
      <c r="O7" s="118">
        <v>2364.62</v>
      </c>
      <c r="P7" s="70">
        <f t="shared" si="0"/>
        <v>3818.59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4058.59</v>
      </c>
      <c r="W7" s="70">
        <f t="shared" si="3"/>
        <v>4058.59</v>
      </c>
      <c r="X7" s="79"/>
    </row>
    <row r="8" spans="1:24" s="119" customFormat="1" ht="14.5" x14ac:dyDescent="0.3">
      <c r="A8" s="110" t="s">
        <v>250</v>
      </c>
      <c r="B8" s="110" t="s">
        <v>250</v>
      </c>
      <c r="C8" s="110" t="s">
        <v>670</v>
      </c>
      <c r="D8" s="47">
        <v>383</v>
      </c>
      <c r="E8" s="122" t="s">
        <v>677</v>
      </c>
      <c r="F8" s="120" t="s">
        <v>673</v>
      </c>
      <c r="G8" s="76" t="s">
        <v>31</v>
      </c>
      <c r="H8" s="76" t="s">
        <v>32</v>
      </c>
      <c r="I8" s="76" t="s">
        <v>33</v>
      </c>
      <c r="J8" s="121" t="s">
        <v>38</v>
      </c>
      <c r="K8" s="121" t="s">
        <v>39</v>
      </c>
      <c r="L8" s="117">
        <v>44832</v>
      </c>
      <c r="M8" s="117">
        <v>44833</v>
      </c>
      <c r="N8" s="118">
        <f>2113.03/2</f>
        <v>1056.5150000000001</v>
      </c>
      <c r="O8" s="118">
        <f>2113.03/2</f>
        <v>1056.5150000000001</v>
      </c>
      <c r="P8" s="70">
        <f t="shared" si="0"/>
        <v>2113.0300000000002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2353.0300000000002</v>
      </c>
      <c r="W8" s="70">
        <f t="shared" si="3"/>
        <v>2353.0300000000002</v>
      </c>
      <c r="X8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X7"/>
  <sheetViews>
    <sheetView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92"/>
      <c r="B4" s="392"/>
      <c r="C4" s="392"/>
      <c r="D4" s="392"/>
      <c r="E4" s="392"/>
      <c r="F4" s="392"/>
      <c r="G4" s="392"/>
      <c r="H4" s="10" t="s">
        <v>27</v>
      </c>
      <c r="I4" s="10" t="s">
        <v>28</v>
      </c>
      <c r="J4" s="10" t="s">
        <v>27</v>
      </c>
      <c r="K4" s="11" t="s">
        <v>29</v>
      </c>
      <c r="L4" s="392"/>
      <c r="M4" s="392"/>
      <c r="N4" s="393"/>
      <c r="O4" s="393"/>
      <c r="P4" s="393"/>
      <c r="Q4" s="10" t="s">
        <v>2</v>
      </c>
      <c r="R4" s="11" t="s">
        <v>30</v>
      </c>
      <c r="S4" s="10" t="s">
        <v>2</v>
      </c>
      <c r="T4" s="11" t="s">
        <v>30</v>
      </c>
      <c r="U4" s="392"/>
      <c r="V4" s="393"/>
      <c r="W4" s="394"/>
      <c r="X4" s="391"/>
    </row>
    <row r="5" spans="1:24" s="119" customFormat="1" ht="14.5" x14ac:dyDescent="0.3">
      <c r="A5" s="110" t="s">
        <v>250</v>
      </c>
      <c r="B5" s="110" t="s">
        <v>250</v>
      </c>
      <c r="C5" s="110" t="s">
        <v>670</v>
      </c>
      <c r="D5" s="47">
        <v>383</v>
      </c>
      <c r="E5" s="122" t="s">
        <v>677</v>
      </c>
      <c r="F5" s="79" t="s">
        <v>678</v>
      </c>
      <c r="G5" s="76" t="s">
        <v>31</v>
      </c>
      <c r="H5" s="76" t="s">
        <v>32</v>
      </c>
      <c r="I5" s="76" t="s">
        <v>33</v>
      </c>
      <c r="J5" s="123" t="s">
        <v>106</v>
      </c>
      <c r="K5" s="123" t="s">
        <v>107</v>
      </c>
      <c r="L5" s="117">
        <v>44853</v>
      </c>
      <c r="M5" s="117">
        <v>44854</v>
      </c>
      <c r="N5" s="118">
        <f>1104.62/2</f>
        <v>552.30999999999995</v>
      </c>
      <c r="O5" s="118">
        <f>1104.62/2</f>
        <v>552.30999999999995</v>
      </c>
      <c r="P5" s="70">
        <f>SUM(N5:O5)</f>
        <v>1104.6199999999999</v>
      </c>
      <c r="Q5" s="79">
        <v>2</v>
      </c>
      <c r="R5" s="118">
        <v>120</v>
      </c>
      <c r="S5" s="79">
        <v>0</v>
      </c>
      <c r="T5" s="118">
        <v>0</v>
      </c>
      <c r="U5" s="70">
        <f>Q5*R5+S5*T5</f>
        <v>240</v>
      </c>
      <c r="V5" s="70">
        <f>P5+U5</f>
        <v>1344.62</v>
      </c>
      <c r="W5" s="70">
        <f>V5</f>
        <v>1344.62</v>
      </c>
      <c r="X5" s="79"/>
    </row>
    <row r="6" spans="1:24" s="119" customFormat="1" ht="14.5" x14ac:dyDescent="0.3">
      <c r="A6" s="124" t="s">
        <v>250</v>
      </c>
      <c r="B6" s="110" t="s">
        <v>322</v>
      </c>
      <c r="C6" s="110" t="s">
        <v>323</v>
      </c>
      <c r="D6" s="47">
        <v>87</v>
      </c>
      <c r="E6" s="111" t="s">
        <v>648</v>
      </c>
      <c r="F6" s="79" t="s">
        <v>678</v>
      </c>
      <c r="G6" s="76" t="s">
        <v>31</v>
      </c>
      <c r="H6" s="76" t="s">
        <v>32</v>
      </c>
      <c r="I6" s="76" t="s">
        <v>33</v>
      </c>
      <c r="J6" s="123" t="s">
        <v>106</v>
      </c>
      <c r="K6" s="123" t="s">
        <v>107</v>
      </c>
      <c r="L6" s="117">
        <v>44853</v>
      </c>
      <c r="M6" s="117">
        <v>44854</v>
      </c>
      <c r="N6" s="118">
        <f>1104.62/2</f>
        <v>552.30999999999995</v>
      </c>
      <c r="O6" s="118">
        <f t="shared" ref="O6:O7" si="0">1104.62/2</f>
        <v>552.30999999999995</v>
      </c>
      <c r="P6" s="70">
        <f t="shared" ref="P6:P7" si="1">SUM(N6:O6)</f>
        <v>1104.6199999999999</v>
      </c>
      <c r="Q6" s="79">
        <v>2</v>
      </c>
      <c r="R6" s="118">
        <v>120</v>
      </c>
      <c r="S6" s="79">
        <v>0</v>
      </c>
      <c r="T6" s="118">
        <v>0</v>
      </c>
      <c r="U6" s="70">
        <f t="shared" ref="U6:U7" si="2">Q6*R6+S6*T6</f>
        <v>240</v>
      </c>
      <c r="V6" s="70">
        <f t="shared" ref="V6:V7" si="3">P6+U6</f>
        <v>1344.62</v>
      </c>
      <c r="W6" s="70">
        <f t="shared" ref="W6:W7" si="4">V6</f>
        <v>1344.62</v>
      </c>
      <c r="X6" s="79"/>
    </row>
    <row r="7" spans="1:24" s="119" customFormat="1" ht="14.5" x14ac:dyDescent="0.3">
      <c r="A7" s="110" t="s">
        <v>250</v>
      </c>
      <c r="B7" s="110" t="s">
        <v>289</v>
      </c>
      <c r="C7" s="110" t="s">
        <v>236</v>
      </c>
      <c r="D7" s="47">
        <v>82</v>
      </c>
      <c r="E7" s="123" t="s">
        <v>679</v>
      </c>
      <c r="F7" s="79" t="s">
        <v>678</v>
      </c>
      <c r="G7" s="76" t="s">
        <v>31</v>
      </c>
      <c r="H7" s="76" t="s">
        <v>32</v>
      </c>
      <c r="I7" s="76" t="s">
        <v>33</v>
      </c>
      <c r="J7" s="123" t="s">
        <v>106</v>
      </c>
      <c r="K7" s="123" t="s">
        <v>107</v>
      </c>
      <c r="L7" s="117">
        <v>44853</v>
      </c>
      <c r="M7" s="117">
        <v>44854</v>
      </c>
      <c r="N7" s="118">
        <f>1104.62/2</f>
        <v>552.30999999999995</v>
      </c>
      <c r="O7" s="118">
        <f t="shared" si="0"/>
        <v>552.30999999999995</v>
      </c>
      <c r="P7" s="70">
        <f t="shared" si="1"/>
        <v>1104.6199999999999</v>
      </c>
      <c r="Q7" s="79">
        <v>2</v>
      </c>
      <c r="R7" s="118">
        <v>120</v>
      </c>
      <c r="S7" s="79">
        <v>0</v>
      </c>
      <c r="T7" s="118">
        <v>0</v>
      </c>
      <c r="U7" s="70">
        <f t="shared" si="2"/>
        <v>240</v>
      </c>
      <c r="V7" s="70">
        <f t="shared" si="3"/>
        <v>1344.62</v>
      </c>
      <c r="W7" s="70">
        <f t="shared" si="4"/>
        <v>1344.62</v>
      </c>
      <c r="X7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X11"/>
  <sheetViews>
    <sheetView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92"/>
      <c r="B4" s="392"/>
      <c r="C4" s="392"/>
      <c r="D4" s="392"/>
      <c r="E4" s="392"/>
      <c r="F4" s="392"/>
      <c r="G4" s="392"/>
      <c r="H4" s="10" t="s">
        <v>27</v>
      </c>
      <c r="I4" s="10" t="s">
        <v>28</v>
      </c>
      <c r="J4" s="10" t="s">
        <v>27</v>
      </c>
      <c r="K4" s="11" t="s">
        <v>29</v>
      </c>
      <c r="L4" s="392"/>
      <c r="M4" s="392"/>
      <c r="N4" s="393"/>
      <c r="O4" s="393"/>
      <c r="P4" s="393"/>
      <c r="Q4" s="10" t="s">
        <v>2</v>
      </c>
      <c r="R4" s="11" t="s">
        <v>30</v>
      </c>
      <c r="S4" s="10" t="s">
        <v>2</v>
      </c>
      <c r="T4" s="11" t="s">
        <v>30</v>
      </c>
      <c r="U4" s="392"/>
      <c r="V4" s="393"/>
      <c r="W4" s="394"/>
      <c r="X4" s="391"/>
    </row>
    <row r="5" spans="1:24" s="119" customFormat="1" ht="14.5" x14ac:dyDescent="0.3">
      <c r="A5" s="110" t="s">
        <v>229</v>
      </c>
      <c r="B5" s="110" t="s">
        <v>301</v>
      </c>
      <c r="C5" s="110" t="s">
        <v>608</v>
      </c>
      <c r="D5" s="47">
        <v>355</v>
      </c>
      <c r="E5" s="110" t="s">
        <v>313</v>
      </c>
      <c r="F5" s="110" t="s">
        <v>681</v>
      </c>
      <c r="G5" s="76" t="s">
        <v>31</v>
      </c>
      <c r="H5" s="76" t="s">
        <v>32</v>
      </c>
      <c r="I5" s="76" t="s">
        <v>33</v>
      </c>
      <c r="J5" s="124" t="s">
        <v>38</v>
      </c>
      <c r="K5" s="124" t="s">
        <v>39</v>
      </c>
      <c r="L5" s="117">
        <v>44881</v>
      </c>
      <c r="M5" s="117">
        <v>44884</v>
      </c>
      <c r="N5" s="118">
        <v>2113.0300000000002</v>
      </c>
      <c r="O5" s="118">
        <v>2364.62</v>
      </c>
      <c r="P5" s="118">
        <f>SUM(N5:O5)</f>
        <v>4477.6499999999996</v>
      </c>
      <c r="Q5" s="79">
        <v>4</v>
      </c>
      <c r="R5" s="118">
        <v>120</v>
      </c>
      <c r="S5" s="79">
        <v>0</v>
      </c>
      <c r="T5" s="118">
        <v>0</v>
      </c>
      <c r="U5" s="70">
        <f>Q5*R5+S5*T5</f>
        <v>480</v>
      </c>
      <c r="V5" s="70">
        <f>P5+U5</f>
        <v>4957.6499999999996</v>
      </c>
      <c r="W5" s="70">
        <f>V5</f>
        <v>4957.6499999999996</v>
      </c>
      <c r="X5" s="79"/>
    </row>
    <row r="6" spans="1:24" s="119" customFormat="1" ht="14.5" x14ac:dyDescent="0.3">
      <c r="A6" s="110" t="s">
        <v>229</v>
      </c>
      <c r="B6" s="110" t="s">
        <v>215</v>
      </c>
      <c r="C6" s="110" t="s">
        <v>48</v>
      </c>
      <c r="D6" s="47">
        <v>56</v>
      </c>
      <c r="E6" s="110" t="s">
        <v>615</v>
      </c>
      <c r="F6" s="110" t="s">
        <v>680</v>
      </c>
      <c r="G6" s="76" t="s">
        <v>31</v>
      </c>
      <c r="H6" s="76" t="s">
        <v>32</v>
      </c>
      <c r="I6" s="76" t="s">
        <v>33</v>
      </c>
      <c r="J6" s="124" t="s">
        <v>425</v>
      </c>
      <c r="K6" s="124" t="s">
        <v>426</v>
      </c>
      <c r="L6" s="117">
        <v>44872</v>
      </c>
      <c r="M6" s="117">
        <v>44875</v>
      </c>
      <c r="N6" s="118">
        <f>1908.15/2</f>
        <v>954.07500000000005</v>
      </c>
      <c r="O6" s="118">
        <f>1908.15/2</f>
        <v>954.07500000000005</v>
      </c>
      <c r="P6" s="118">
        <f t="shared" ref="P6:P11" si="0">SUM(N6:O6)</f>
        <v>1908.15</v>
      </c>
      <c r="Q6" s="79">
        <v>10</v>
      </c>
      <c r="R6" s="118">
        <v>120</v>
      </c>
      <c r="S6" s="79">
        <v>0</v>
      </c>
      <c r="T6" s="118">
        <v>0</v>
      </c>
      <c r="U6" s="70">
        <f t="shared" ref="U6:U11" si="1">Q6*R6+S6*T6</f>
        <v>1200</v>
      </c>
      <c r="V6" s="70">
        <f t="shared" ref="V6:V11" si="2">P6+U6</f>
        <v>3108.15</v>
      </c>
      <c r="W6" s="70">
        <f t="shared" ref="W6:W11" si="3">V6</f>
        <v>3108.15</v>
      </c>
      <c r="X6" s="79"/>
    </row>
    <row r="7" spans="1:24" s="119" customFormat="1" ht="14.5" x14ac:dyDescent="0.3">
      <c r="A7" s="110" t="s">
        <v>229</v>
      </c>
      <c r="B7" s="110" t="s">
        <v>229</v>
      </c>
      <c r="C7" s="110" t="s">
        <v>412</v>
      </c>
      <c r="D7" s="47">
        <v>0</v>
      </c>
      <c r="E7" s="110" t="s">
        <v>561</v>
      </c>
      <c r="F7" s="110" t="s">
        <v>681</v>
      </c>
      <c r="G7" s="76" t="s">
        <v>31</v>
      </c>
      <c r="H7" s="76" t="s">
        <v>32</v>
      </c>
      <c r="I7" s="76" t="s">
        <v>33</v>
      </c>
      <c r="J7" s="124" t="s">
        <v>38</v>
      </c>
      <c r="K7" s="124" t="s">
        <v>39</v>
      </c>
      <c r="L7" s="117">
        <v>44881</v>
      </c>
      <c r="M7" s="117">
        <v>44884</v>
      </c>
      <c r="N7" s="118">
        <v>2113.0300000000002</v>
      </c>
      <c r="O7" s="118">
        <v>2364.62</v>
      </c>
      <c r="P7" s="118">
        <f t="shared" si="0"/>
        <v>4477.6499999999996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4477.6499999999996</v>
      </c>
      <c r="W7" s="70">
        <f t="shared" si="3"/>
        <v>4477.6499999999996</v>
      </c>
      <c r="X7" s="79"/>
    </row>
    <row r="8" spans="1:24" s="119" customFormat="1" ht="14.5" x14ac:dyDescent="0.3">
      <c r="A8" s="124" t="s">
        <v>250</v>
      </c>
      <c r="B8" s="110" t="s">
        <v>212</v>
      </c>
      <c r="C8" s="110" t="s">
        <v>397</v>
      </c>
      <c r="D8" s="47">
        <v>345</v>
      </c>
      <c r="E8" s="111" t="s">
        <v>650</v>
      </c>
      <c r="F8" s="110" t="s">
        <v>682</v>
      </c>
      <c r="G8" s="76" t="s">
        <v>31</v>
      </c>
      <c r="H8" s="76" t="s">
        <v>32</v>
      </c>
      <c r="I8" s="76" t="s">
        <v>33</v>
      </c>
      <c r="J8" s="124" t="s">
        <v>38</v>
      </c>
      <c r="K8" s="124" t="s">
        <v>39</v>
      </c>
      <c r="L8" s="117">
        <v>44873</v>
      </c>
      <c r="M8" s="117">
        <v>44873</v>
      </c>
      <c r="N8" s="118">
        <f>2930.51/2</f>
        <v>1465.2550000000001</v>
      </c>
      <c r="O8" s="118">
        <f>2930.51/2</f>
        <v>1465.2550000000001</v>
      </c>
      <c r="P8" s="118">
        <f t="shared" si="0"/>
        <v>2930.51</v>
      </c>
      <c r="Q8" s="79">
        <v>1</v>
      </c>
      <c r="R8" s="118">
        <v>120</v>
      </c>
      <c r="S8" s="79">
        <v>0</v>
      </c>
      <c r="T8" s="118">
        <v>0</v>
      </c>
      <c r="U8" s="70">
        <f t="shared" si="1"/>
        <v>120</v>
      </c>
      <c r="V8" s="70">
        <f t="shared" si="2"/>
        <v>3050.51</v>
      </c>
      <c r="W8" s="70">
        <f t="shared" si="3"/>
        <v>3050.51</v>
      </c>
      <c r="X8" s="79"/>
    </row>
    <row r="9" spans="1:24" s="119" customFormat="1" ht="14.5" x14ac:dyDescent="0.3">
      <c r="A9" s="110" t="s">
        <v>372</v>
      </c>
      <c r="B9" s="110" t="s">
        <v>238</v>
      </c>
      <c r="C9" s="110" t="s">
        <v>135</v>
      </c>
      <c r="D9" s="47">
        <v>230</v>
      </c>
      <c r="E9" s="110" t="s">
        <v>152</v>
      </c>
      <c r="F9" s="110" t="s">
        <v>682</v>
      </c>
      <c r="G9" s="76" t="s">
        <v>31</v>
      </c>
      <c r="H9" s="76" t="s">
        <v>32</v>
      </c>
      <c r="I9" s="76" t="s">
        <v>33</v>
      </c>
      <c r="J9" s="124" t="s">
        <v>38</v>
      </c>
      <c r="K9" s="124" t="s">
        <v>39</v>
      </c>
      <c r="L9" s="117">
        <v>44873</v>
      </c>
      <c r="M9" s="117">
        <v>44873</v>
      </c>
      <c r="N9" s="118">
        <f>3433/2</f>
        <v>1716.5</v>
      </c>
      <c r="O9" s="118">
        <f>3433/2</f>
        <v>1716.5</v>
      </c>
      <c r="P9" s="118">
        <f t="shared" si="0"/>
        <v>3433</v>
      </c>
      <c r="Q9" s="79">
        <v>1</v>
      </c>
      <c r="R9" s="118">
        <v>120</v>
      </c>
      <c r="S9" s="79">
        <v>0</v>
      </c>
      <c r="T9" s="118">
        <v>0</v>
      </c>
      <c r="U9" s="70">
        <f t="shared" si="1"/>
        <v>120</v>
      </c>
      <c r="V9" s="70">
        <f t="shared" si="2"/>
        <v>3553</v>
      </c>
      <c r="W9" s="70">
        <f t="shared" si="3"/>
        <v>3553</v>
      </c>
      <c r="X9" s="79"/>
    </row>
    <row r="10" spans="1:24" s="119" customFormat="1" ht="14.5" x14ac:dyDescent="0.3">
      <c r="A10" s="124" t="s">
        <v>250</v>
      </c>
      <c r="B10" s="110" t="s">
        <v>212</v>
      </c>
      <c r="C10" s="110" t="s">
        <v>612</v>
      </c>
      <c r="D10" s="47">
        <v>365</v>
      </c>
      <c r="E10" s="124" t="s">
        <v>52</v>
      </c>
      <c r="F10" s="110" t="s">
        <v>683</v>
      </c>
      <c r="G10" s="76" t="s">
        <v>31</v>
      </c>
      <c r="H10" s="76" t="s">
        <v>32</v>
      </c>
      <c r="I10" s="76" t="s">
        <v>33</v>
      </c>
      <c r="J10" s="124" t="s">
        <v>32</v>
      </c>
      <c r="K10" s="124" t="s">
        <v>390</v>
      </c>
      <c r="L10" s="117">
        <v>44881</v>
      </c>
      <c r="M10" s="117">
        <v>44882</v>
      </c>
      <c r="N10" s="118">
        <f>2265.36/2</f>
        <v>1132.68</v>
      </c>
      <c r="O10" s="118">
        <f>2265.36/2</f>
        <v>1132.68</v>
      </c>
      <c r="P10" s="118">
        <f t="shared" si="0"/>
        <v>2265.36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2505.36</v>
      </c>
      <c r="W10" s="70">
        <f t="shared" si="3"/>
        <v>2505.36</v>
      </c>
      <c r="X10" s="79"/>
    </row>
    <row r="11" spans="1:24" s="119" customFormat="1" ht="14.5" x14ac:dyDescent="0.3">
      <c r="A11" s="124" t="s">
        <v>250</v>
      </c>
      <c r="B11" s="110" t="s">
        <v>212</v>
      </c>
      <c r="C11" s="110" t="s">
        <v>270</v>
      </c>
      <c r="D11" s="47" t="s">
        <v>173</v>
      </c>
      <c r="E11" s="111" t="s">
        <v>599</v>
      </c>
      <c r="F11" s="110" t="s">
        <v>683</v>
      </c>
      <c r="G11" s="76" t="s">
        <v>31</v>
      </c>
      <c r="H11" s="76" t="s">
        <v>32</v>
      </c>
      <c r="I11" s="76" t="s">
        <v>33</v>
      </c>
      <c r="J11" s="124" t="s">
        <v>32</v>
      </c>
      <c r="K11" s="124" t="s">
        <v>390</v>
      </c>
      <c r="L11" s="117">
        <v>44881</v>
      </c>
      <c r="M11" s="117">
        <v>44882</v>
      </c>
      <c r="N11" s="118">
        <f>2265.36/2</f>
        <v>1132.68</v>
      </c>
      <c r="O11" s="118">
        <f>2265.36/2</f>
        <v>1132.68</v>
      </c>
      <c r="P11" s="118">
        <f t="shared" si="0"/>
        <v>2265.36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2"/>
        <v>2505.36</v>
      </c>
      <c r="W11" s="70">
        <f t="shared" si="3"/>
        <v>2505.36</v>
      </c>
      <c r="X11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X7"/>
  <sheetViews>
    <sheetView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92"/>
      <c r="B4" s="392"/>
      <c r="C4" s="392"/>
      <c r="D4" s="392"/>
      <c r="E4" s="392"/>
      <c r="F4" s="392"/>
      <c r="G4" s="392"/>
      <c r="H4" s="10" t="s">
        <v>27</v>
      </c>
      <c r="I4" s="10" t="s">
        <v>28</v>
      </c>
      <c r="J4" s="10" t="s">
        <v>27</v>
      </c>
      <c r="K4" s="11" t="s">
        <v>29</v>
      </c>
      <c r="L4" s="392"/>
      <c r="M4" s="392"/>
      <c r="N4" s="393"/>
      <c r="O4" s="393"/>
      <c r="P4" s="393"/>
      <c r="Q4" s="10" t="s">
        <v>2</v>
      </c>
      <c r="R4" s="11" t="s">
        <v>30</v>
      </c>
      <c r="S4" s="10" t="s">
        <v>2</v>
      </c>
      <c r="T4" s="11" t="s">
        <v>30</v>
      </c>
      <c r="U4" s="392"/>
      <c r="V4" s="393"/>
      <c r="W4" s="394"/>
      <c r="X4" s="391"/>
    </row>
    <row r="5" spans="1:24" s="119" customFormat="1" ht="14.5" x14ac:dyDescent="0.3">
      <c r="A5" s="110" t="s">
        <v>229</v>
      </c>
      <c r="B5" s="110" t="s">
        <v>227</v>
      </c>
      <c r="C5" s="125" t="s">
        <v>581</v>
      </c>
      <c r="D5" s="47">
        <v>357</v>
      </c>
      <c r="E5" s="125" t="s">
        <v>262</v>
      </c>
      <c r="F5" s="125" t="s">
        <v>686</v>
      </c>
      <c r="G5" s="76" t="s">
        <v>31</v>
      </c>
      <c r="H5" s="76" t="s">
        <v>32</v>
      </c>
      <c r="I5" s="76" t="s">
        <v>33</v>
      </c>
      <c r="J5" s="124" t="s">
        <v>38</v>
      </c>
      <c r="K5" s="124" t="s">
        <v>39</v>
      </c>
      <c r="L5" s="117">
        <v>44908</v>
      </c>
      <c r="M5" s="117">
        <v>44910</v>
      </c>
      <c r="N5" s="118">
        <f>1670.62/2</f>
        <v>835.31</v>
      </c>
      <c r="O5" s="118">
        <f>1670.62/2</f>
        <v>835.31</v>
      </c>
      <c r="P5" s="118">
        <f>SUM(N5:O5)</f>
        <v>1670.62</v>
      </c>
      <c r="Q5" s="79">
        <v>3</v>
      </c>
      <c r="R5" s="118">
        <v>120</v>
      </c>
      <c r="S5" s="79">
        <v>0</v>
      </c>
      <c r="T5" s="118">
        <v>0</v>
      </c>
      <c r="U5" s="70">
        <f>Q5*R5+S5*T5</f>
        <v>360</v>
      </c>
      <c r="V5" s="70">
        <f>P5+U5</f>
        <v>2030.62</v>
      </c>
      <c r="W5" s="70">
        <f>V5</f>
        <v>2030.62</v>
      </c>
      <c r="X5" s="79"/>
    </row>
    <row r="6" spans="1:24" s="119" customFormat="1" ht="14.5" x14ac:dyDescent="0.3">
      <c r="A6" s="110" t="s">
        <v>250</v>
      </c>
      <c r="B6" s="110" t="s">
        <v>234</v>
      </c>
      <c r="C6" s="125" t="s">
        <v>450</v>
      </c>
      <c r="D6" s="47">
        <v>300</v>
      </c>
      <c r="E6" s="125" t="s">
        <v>687</v>
      </c>
      <c r="F6" s="125" t="s">
        <v>685</v>
      </c>
      <c r="G6" s="76" t="s">
        <v>31</v>
      </c>
      <c r="H6" s="76" t="s">
        <v>32</v>
      </c>
      <c r="I6" s="76" t="s">
        <v>33</v>
      </c>
      <c r="J6" s="125" t="s">
        <v>32</v>
      </c>
      <c r="K6" s="125" t="s">
        <v>390</v>
      </c>
      <c r="L6" s="117">
        <v>44899</v>
      </c>
      <c r="M6" s="117">
        <v>44901</v>
      </c>
      <c r="N6" s="118">
        <f>3264.36/2</f>
        <v>1632.18</v>
      </c>
      <c r="O6" s="118">
        <f>3264.36/2</f>
        <v>1632.18</v>
      </c>
      <c r="P6" s="118">
        <f t="shared" ref="P6:P7" si="0">SUM(N6:O6)</f>
        <v>3264.36</v>
      </c>
      <c r="Q6" s="79">
        <v>3</v>
      </c>
      <c r="R6" s="118">
        <v>120</v>
      </c>
      <c r="S6" s="79">
        <v>0</v>
      </c>
      <c r="T6" s="118">
        <v>0</v>
      </c>
      <c r="U6" s="70">
        <f t="shared" ref="U6:U7" si="1">Q6*R6+S6*T6</f>
        <v>360</v>
      </c>
      <c r="V6" s="70">
        <f t="shared" ref="V6:V7" si="2">P6+U6</f>
        <v>3624.36</v>
      </c>
      <c r="W6" s="70">
        <f t="shared" ref="W6:W7" si="3">V6</f>
        <v>3624.36</v>
      </c>
      <c r="X6" s="79"/>
    </row>
    <row r="7" spans="1:24" s="119" customFormat="1" ht="14.5" x14ac:dyDescent="0.3">
      <c r="A7" s="110" t="s">
        <v>250</v>
      </c>
      <c r="B7" s="110" t="s">
        <v>250</v>
      </c>
      <c r="C7" s="110" t="s">
        <v>378</v>
      </c>
      <c r="D7" s="47"/>
      <c r="E7" s="125" t="s">
        <v>55</v>
      </c>
      <c r="F7" s="125" t="s">
        <v>684</v>
      </c>
      <c r="G7" s="76" t="s">
        <v>31</v>
      </c>
      <c r="H7" s="76" t="s">
        <v>32</v>
      </c>
      <c r="I7" s="76" t="s">
        <v>33</v>
      </c>
      <c r="J7" s="125" t="s">
        <v>121</v>
      </c>
      <c r="K7" s="125" t="s">
        <v>62</v>
      </c>
      <c r="L7" s="117">
        <v>44894</v>
      </c>
      <c r="M7" s="117">
        <v>44898</v>
      </c>
      <c r="N7" s="118">
        <f>1879.42/2</f>
        <v>939.71</v>
      </c>
      <c r="O7" s="118">
        <f>1879.42/2</f>
        <v>939.71</v>
      </c>
      <c r="P7" s="118">
        <f t="shared" si="0"/>
        <v>1879.42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1879.42</v>
      </c>
      <c r="W7" s="70">
        <f t="shared" si="3"/>
        <v>1879.42</v>
      </c>
      <c r="X7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X7"/>
  <sheetViews>
    <sheetView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92"/>
      <c r="B4" s="392"/>
      <c r="C4" s="392"/>
      <c r="D4" s="392"/>
      <c r="E4" s="392"/>
      <c r="F4" s="392"/>
      <c r="G4" s="392"/>
      <c r="H4" s="10" t="s">
        <v>27</v>
      </c>
      <c r="I4" s="10" t="s">
        <v>28</v>
      </c>
      <c r="J4" s="10" t="s">
        <v>27</v>
      </c>
      <c r="K4" s="11" t="s">
        <v>29</v>
      </c>
      <c r="L4" s="392"/>
      <c r="M4" s="392"/>
      <c r="N4" s="393"/>
      <c r="O4" s="393"/>
      <c r="P4" s="393"/>
      <c r="Q4" s="10" t="s">
        <v>2</v>
      </c>
      <c r="R4" s="11" t="s">
        <v>30</v>
      </c>
      <c r="S4" s="10" t="s">
        <v>2</v>
      </c>
      <c r="T4" s="11" t="s">
        <v>30</v>
      </c>
      <c r="U4" s="392"/>
      <c r="V4" s="393"/>
      <c r="W4" s="394"/>
      <c r="X4" s="391"/>
    </row>
    <row r="5" spans="1:24" s="119" customFormat="1" ht="14.5" x14ac:dyDescent="0.3">
      <c r="A5" s="110"/>
      <c r="B5" s="110"/>
      <c r="C5" s="125"/>
      <c r="D5" s="47"/>
      <c r="E5" s="125"/>
      <c r="F5" s="125"/>
      <c r="G5" s="76"/>
      <c r="H5" s="76"/>
      <c r="I5" s="76"/>
      <c r="J5" s="124"/>
      <c r="K5" s="124"/>
      <c r="L5" s="117"/>
      <c r="M5" s="117"/>
      <c r="N5" s="118"/>
      <c r="O5" s="118"/>
      <c r="P5" s="118">
        <f>SUM(N5:O5)</f>
        <v>0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0</v>
      </c>
      <c r="W5" s="70">
        <f>V5</f>
        <v>0</v>
      </c>
      <c r="X5" s="79"/>
    </row>
    <row r="6" spans="1:24" s="119" customFormat="1" ht="14.5" x14ac:dyDescent="0.3">
      <c r="A6" s="110"/>
      <c r="B6" s="110"/>
      <c r="C6" s="125"/>
      <c r="D6" s="47"/>
      <c r="E6" s="125"/>
      <c r="F6" s="125"/>
      <c r="G6" s="76"/>
      <c r="H6" s="76"/>
      <c r="I6" s="76"/>
      <c r="J6" s="125"/>
      <c r="K6" s="125"/>
      <c r="L6" s="117"/>
      <c r="M6" s="117"/>
      <c r="N6" s="118"/>
      <c r="O6" s="118"/>
      <c r="P6" s="118">
        <f t="shared" ref="P6:P7" si="0">SUM(N6:O6)</f>
        <v>0</v>
      </c>
      <c r="Q6" s="79">
        <v>0</v>
      </c>
      <c r="R6" s="118">
        <v>0</v>
      </c>
      <c r="S6" s="79">
        <v>0</v>
      </c>
      <c r="T6" s="118">
        <v>0</v>
      </c>
      <c r="U6" s="70">
        <f t="shared" ref="U6:U7" si="1">Q6*R6+S6*T6</f>
        <v>0</v>
      </c>
      <c r="V6" s="70">
        <f t="shared" ref="V6:V7" si="2">P6+U6</f>
        <v>0</v>
      </c>
      <c r="W6" s="70">
        <f t="shared" ref="W6:W7" si="3">V6</f>
        <v>0</v>
      </c>
      <c r="X6" s="79"/>
    </row>
    <row r="7" spans="1:24" s="119" customFormat="1" ht="14.5" x14ac:dyDescent="0.3">
      <c r="A7" s="110"/>
      <c r="B7" s="110"/>
      <c r="C7" s="110"/>
      <c r="D7" s="47"/>
      <c r="E7" s="125"/>
      <c r="F7" s="125"/>
      <c r="G7" s="76"/>
      <c r="H7" s="76"/>
      <c r="I7" s="76"/>
      <c r="J7" s="125"/>
      <c r="K7" s="125"/>
      <c r="L7" s="117"/>
      <c r="M7" s="117"/>
      <c r="N7" s="118"/>
      <c r="O7" s="118"/>
      <c r="P7" s="118">
        <f t="shared" si="0"/>
        <v>0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X11"/>
  <sheetViews>
    <sheetView topLeftCell="C1"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92"/>
      <c r="B4" s="392"/>
      <c r="C4" s="392"/>
      <c r="D4" s="392"/>
      <c r="E4" s="392"/>
      <c r="F4" s="392"/>
      <c r="G4" s="392"/>
      <c r="H4" s="10" t="s">
        <v>27</v>
      </c>
      <c r="I4" s="10" t="s">
        <v>28</v>
      </c>
      <c r="J4" s="10" t="s">
        <v>27</v>
      </c>
      <c r="K4" s="11" t="s">
        <v>29</v>
      </c>
      <c r="L4" s="392"/>
      <c r="M4" s="392"/>
      <c r="N4" s="393"/>
      <c r="O4" s="393"/>
      <c r="P4" s="393"/>
      <c r="Q4" s="10" t="s">
        <v>2</v>
      </c>
      <c r="R4" s="11" t="s">
        <v>30</v>
      </c>
      <c r="S4" s="10" t="s">
        <v>2</v>
      </c>
      <c r="T4" s="11" t="s">
        <v>30</v>
      </c>
      <c r="U4" s="392"/>
      <c r="V4" s="393"/>
      <c r="W4" s="394"/>
      <c r="X4" s="391"/>
    </row>
    <row r="5" spans="1:24" s="119" customFormat="1" ht="14.5" x14ac:dyDescent="0.3">
      <c r="A5" s="126" t="s">
        <v>250</v>
      </c>
      <c r="B5" s="126" t="s">
        <v>250</v>
      </c>
      <c r="C5" s="125" t="s">
        <v>378</v>
      </c>
      <c r="D5" s="47"/>
      <c r="E5" s="125" t="s">
        <v>55</v>
      </c>
      <c r="F5" s="126" t="s">
        <v>688</v>
      </c>
      <c r="G5" s="76" t="s">
        <v>31</v>
      </c>
      <c r="H5" s="76" t="s">
        <v>32</v>
      </c>
      <c r="I5" s="76" t="s">
        <v>33</v>
      </c>
      <c r="J5" s="126" t="s">
        <v>32</v>
      </c>
      <c r="K5" s="126" t="s">
        <v>390</v>
      </c>
      <c r="L5" s="117">
        <v>45001</v>
      </c>
      <c r="M5" s="117">
        <v>45002</v>
      </c>
      <c r="N5" s="118">
        <f t="shared" ref="N5:O7" si="0">936.14/2</f>
        <v>468.07</v>
      </c>
      <c r="O5" s="118">
        <f t="shared" si="0"/>
        <v>468.07</v>
      </c>
      <c r="P5" s="118">
        <f>SUM(N5:O5)</f>
        <v>936.14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936.14</v>
      </c>
      <c r="W5" s="70">
        <f>V5</f>
        <v>936.14</v>
      </c>
      <c r="X5" s="79"/>
    </row>
    <row r="6" spans="1:24" s="119" customFormat="1" ht="14.5" x14ac:dyDescent="0.3">
      <c r="A6" s="126" t="s">
        <v>250</v>
      </c>
      <c r="B6" s="110" t="s">
        <v>212</v>
      </c>
      <c r="C6" s="125" t="s">
        <v>612</v>
      </c>
      <c r="D6" s="47">
        <v>365</v>
      </c>
      <c r="E6" s="124" t="s">
        <v>52</v>
      </c>
      <c r="F6" s="126" t="s">
        <v>688</v>
      </c>
      <c r="G6" s="76" t="s">
        <v>31</v>
      </c>
      <c r="H6" s="76" t="s">
        <v>32</v>
      </c>
      <c r="I6" s="76" t="s">
        <v>33</v>
      </c>
      <c r="J6" s="126" t="s">
        <v>32</v>
      </c>
      <c r="K6" s="126" t="s">
        <v>390</v>
      </c>
      <c r="L6" s="117">
        <v>45001</v>
      </c>
      <c r="M6" s="117">
        <v>45002</v>
      </c>
      <c r="N6" s="118">
        <f t="shared" si="0"/>
        <v>468.07</v>
      </c>
      <c r="O6" s="118">
        <f t="shared" si="0"/>
        <v>468.07</v>
      </c>
      <c r="P6" s="118">
        <f t="shared" ref="P6:P10" si="1">SUM(N6:O6)</f>
        <v>936.14</v>
      </c>
      <c r="Q6" s="79">
        <v>2</v>
      </c>
      <c r="R6" s="118">
        <v>120</v>
      </c>
      <c r="S6" s="79">
        <v>0</v>
      </c>
      <c r="T6" s="118">
        <v>0</v>
      </c>
      <c r="U6" s="70">
        <f t="shared" ref="U6:U10" si="2">Q6*R6+S6*T6</f>
        <v>240</v>
      </c>
      <c r="V6" s="70">
        <f t="shared" ref="V6:V9" si="3">P6+U6</f>
        <v>1176.1399999999999</v>
      </c>
      <c r="W6" s="70">
        <f t="shared" ref="W6:W9" si="4">V6</f>
        <v>1176.1399999999999</v>
      </c>
      <c r="X6" s="79"/>
    </row>
    <row r="7" spans="1:24" s="119" customFormat="1" ht="14.5" x14ac:dyDescent="0.3">
      <c r="A7" s="126" t="s">
        <v>250</v>
      </c>
      <c r="B7" s="110" t="s">
        <v>212</v>
      </c>
      <c r="C7" s="126" t="s">
        <v>270</v>
      </c>
      <c r="D7" s="47" t="s">
        <v>173</v>
      </c>
      <c r="E7" s="111" t="s">
        <v>599</v>
      </c>
      <c r="F7" s="126" t="s">
        <v>688</v>
      </c>
      <c r="G7" s="76" t="s">
        <v>31</v>
      </c>
      <c r="H7" s="76" t="s">
        <v>32</v>
      </c>
      <c r="I7" s="76" t="s">
        <v>33</v>
      </c>
      <c r="J7" s="126" t="s">
        <v>32</v>
      </c>
      <c r="K7" s="126" t="s">
        <v>390</v>
      </c>
      <c r="L7" s="117">
        <v>45001</v>
      </c>
      <c r="M7" s="117">
        <v>45002</v>
      </c>
      <c r="N7" s="118">
        <f t="shared" si="0"/>
        <v>468.07</v>
      </c>
      <c r="O7" s="118">
        <f t="shared" si="0"/>
        <v>468.07</v>
      </c>
      <c r="P7" s="118">
        <f t="shared" si="1"/>
        <v>936.14</v>
      </c>
      <c r="Q7" s="79">
        <v>2</v>
      </c>
      <c r="R7" s="118">
        <v>120</v>
      </c>
      <c r="S7" s="79">
        <v>0</v>
      </c>
      <c r="T7" s="118">
        <v>0</v>
      </c>
      <c r="U7" s="70">
        <f t="shared" si="2"/>
        <v>240</v>
      </c>
      <c r="V7" s="70">
        <f t="shared" si="3"/>
        <v>1176.1399999999999</v>
      </c>
      <c r="W7" s="70">
        <f t="shared" si="4"/>
        <v>1176.1399999999999</v>
      </c>
      <c r="X7" s="79"/>
    </row>
    <row r="8" spans="1:24" s="119" customFormat="1" ht="14.5" x14ac:dyDescent="0.3">
      <c r="A8" s="110" t="s">
        <v>229</v>
      </c>
      <c r="B8" s="110" t="s">
        <v>227</v>
      </c>
      <c r="C8" s="126" t="s">
        <v>581</v>
      </c>
      <c r="D8" s="47">
        <v>357</v>
      </c>
      <c r="E8" s="111" t="s">
        <v>262</v>
      </c>
      <c r="F8" s="126" t="s">
        <v>689</v>
      </c>
      <c r="G8" s="76" t="s">
        <v>31</v>
      </c>
      <c r="H8" s="76" t="s">
        <v>32</v>
      </c>
      <c r="I8" s="76" t="s">
        <v>33</v>
      </c>
      <c r="J8" s="126" t="s">
        <v>61</v>
      </c>
      <c r="K8" s="126" t="s">
        <v>62</v>
      </c>
      <c r="L8" s="117">
        <v>44997</v>
      </c>
      <c r="M8" s="117">
        <v>45002</v>
      </c>
      <c r="N8" s="118">
        <v>1623.42</v>
      </c>
      <c r="O8" s="118">
        <v>1879.42</v>
      </c>
      <c r="P8" s="118">
        <f t="shared" si="1"/>
        <v>3502.84</v>
      </c>
      <c r="Q8" s="79">
        <v>0</v>
      </c>
      <c r="R8" s="118">
        <v>0</v>
      </c>
      <c r="S8" s="79">
        <v>0</v>
      </c>
      <c r="T8" s="118">
        <v>0</v>
      </c>
      <c r="U8" s="70">
        <f t="shared" si="2"/>
        <v>0</v>
      </c>
      <c r="V8" s="70">
        <f t="shared" si="3"/>
        <v>3502.84</v>
      </c>
      <c r="W8" s="70">
        <f t="shared" si="4"/>
        <v>3502.84</v>
      </c>
      <c r="X8" s="79"/>
    </row>
    <row r="9" spans="1:24" s="119" customFormat="1" ht="14.5" x14ac:dyDescent="0.3">
      <c r="A9" s="126" t="s">
        <v>250</v>
      </c>
      <c r="B9" s="110" t="s">
        <v>289</v>
      </c>
      <c r="C9" s="126" t="s">
        <v>340</v>
      </c>
      <c r="D9" s="47">
        <v>74</v>
      </c>
      <c r="E9" s="110" t="s">
        <v>536</v>
      </c>
      <c r="F9" s="125" t="s">
        <v>690</v>
      </c>
      <c r="G9" s="76" t="s">
        <v>31</v>
      </c>
      <c r="H9" s="76" t="s">
        <v>32</v>
      </c>
      <c r="I9" s="76" t="s">
        <v>33</v>
      </c>
      <c r="J9" s="126" t="s">
        <v>32</v>
      </c>
      <c r="K9" s="126" t="s">
        <v>390</v>
      </c>
      <c r="L9" s="117">
        <v>44988</v>
      </c>
      <c r="M9" s="117">
        <v>44989</v>
      </c>
      <c r="N9" s="118">
        <f>1709.31/2</f>
        <v>854.65499999999997</v>
      </c>
      <c r="O9" s="118">
        <f>1709.31/2</f>
        <v>854.65499999999997</v>
      </c>
      <c r="P9" s="118">
        <f t="shared" si="1"/>
        <v>1709.31</v>
      </c>
      <c r="Q9" s="79">
        <v>2</v>
      </c>
      <c r="R9" s="118">
        <v>120</v>
      </c>
      <c r="S9" s="79">
        <v>0</v>
      </c>
      <c r="T9" s="118">
        <v>0</v>
      </c>
      <c r="U9" s="70">
        <f t="shared" si="2"/>
        <v>240</v>
      </c>
      <c r="V9" s="70">
        <f t="shared" si="3"/>
        <v>1949.31</v>
      </c>
      <c r="W9" s="70">
        <f t="shared" si="4"/>
        <v>1949.31</v>
      </c>
      <c r="X9" s="79"/>
    </row>
    <row r="10" spans="1:24" s="119" customFormat="1" ht="14.5" x14ac:dyDescent="0.3">
      <c r="A10" s="408" t="s">
        <v>372</v>
      </c>
      <c r="B10" s="408" t="s">
        <v>238</v>
      </c>
      <c r="C10" s="408" t="s">
        <v>135</v>
      </c>
      <c r="D10" s="346">
        <v>230</v>
      </c>
      <c r="E10" s="412" t="s">
        <v>152</v>
      </c>
      <c r="F10" s="408" t="s">
        <v>691</v>
      </c>
      <c r="G10" s="76" t="s">
        <v>31</v>
      </c>
      <c r="H10" s="126" t="s">
        <v>61</v>
      </c>
      <c r="I10" s="126" t="s">
        <v>62</v>
      </c>
      <c r="J10" s="126" t="s">
        <v>38</v>
      </c>
      <c r="K10" s="126" t="s">
        <v>39</v>
      </c>
      <c r="L10" s="410">
        <v>45011</v>
      </c>
      <c r="M10" s="410">
        <v>45013</v>
      </c>
      <c r="N10" s="404">
        <f>3156.22/2</f>
        <v>1578.11</v>
      </c>
      <c r="O10" s="404">
        <f>3156.22/2</f>
        <v>1578.11</v>
      </c>
      <c r="P10" s="404">
        <f t="shared" si="1"/>
        <v>3156.22</v>
      </c>
      <c r="Q10" s="397">
        <v>7</v>
      </c>
      <c r="R10" s="404">
        <v>120</v>
      </c>
      <c r="S10" s="397">
        <v>0</v>
      </c>
      <c r="T10" s="404">
        <v>0</v>
      </c>
      <c r="U10" s="395">
        <f t="shared" si="2"/>
        <v>840</v>
      </c>
      <c r="V10" s="395">
        <f>P10+U10</f>
        <v>3996.22</v>
      </c>
      <c r="W10" s="395">
        <f>V10</f>
        <v>3996.22</v>
      </c>
      <c r="X10" s="406"/>
    </row>
    <row r="11" spans="1:24" s="119" customFormat="1" ht="14.5" x14ac:dyDescent="0.3">
      <c r="A11" s="409"/>
      <c r="B11" s="409"/>
      <c r="C11" s="409"/>
      <c r="D11" s="346"/>
      <c r="E11" s="412"/>
      <c r="F11" s="407"/>
      <c r="G11" s="76" t="s">
        <v>31</v>
      </c>
      <c r="H11" s="126" t="s">
        <v>38</v>
      </c>
      <c r="I11" s="126" t="s">
        <v>39</v>
      </c>
      <c r="J11" s="126" t="s">
        <v>32</v>
      </c>
      <c r="K11" s="126" t="s">
        <v>33</v>
      </c>
      <c r="L11" s="411"/>
      <c r="M11" s="411"/>
      <c r="N11" s="405"/>
      <c r="O11" s="405"/>
      <c r="P11" s="405"/>
      <c r="Q11" s="398"/>
      <c r="R11" s="405"/>
      <c r="S11" s="398"/>
      <c r="T11" s="405"/>
      <c r="U11" s="396"/>
      <c r="V11" s="396"/>
      <c r="W11" s="396"/>
      <c r="X11" s="407"/>
    </row>
  </sheetData>
  <mergeCells count="45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J3:K3"/>
    <mergeCell ref="L3:L4"/>
    <mergeCell ref="M3:M4"/>
    <mergeCell ref="N3:N4"/>
    <mergeCell ref="O3:O4"/>
    <mergeCell ref="M10:M11"/>
    <mergeCell ref="Q3:R3"/>
    <mergeCell ref="S3:T3"/>
    <mergeCell ref="U3:U4"/>
    <mergeCell ref="V3:V4"/>
    <mergeCell ref="N10:N11"/>
    <mergeCell ref="O10:O11"/>
    <mergeCell ref="P10:P11"/>
    <mergeCell ref="Q10:Q11"/>
    <mergeCell ref="P3:P4"/>
    <mergeCell ref="C10:C11"/>
    <mergeCell ref="A10:A11"/>
    <mergeCell ref="B10:B11"/>
    <mergeCell ref="D10:D11"/>
    <mergeCell ref="L10:L11"/>
    <mergeCell ref="F10:F11"/>
    <mergeCell ref="E10:E11"/>
    <mergeCell ref="X10:X11"/>
    <mergeCell ref="R10:R11"/>
    <mergeCell ref="S10:S11"/>
    <mergeCell ref="T10:T11"/>
    <mergeCell ref="U10:U11"/>
    <mergeCell ref="V10:V11"/>
    <mergeCell ref="W10:W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X10"/>
  <sheetViews>
    <sheetView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92"/>
      <c r="B4" s="392"/>
      <c r="C4" s="392"/>
      <c r="D4" s="392"/>
      <c r="E4" s="392"/>
      <c r="F4" s="392"/>
      <c r="G4" s="392"/>
      <c r="H4" s="10" t="s">
        <v>27</v>
      </c>
      <c r="I4" s="10" t="s">
        <v>28</v>
      </c>
      <c r="J4" s="10" t="s">
        <v>27</v>
      </c>
      <c r="K4" s="11" t="s">
        <v>29</v>
      </c>
      <c r="L4" s="392"/>
      <c r="M4" s="392"/>
      <c r="N4" s="393"/>
      <c r="O4" s="393"/>
      <c r="P4" s="393"/>
      <c r="Q4" s="10" t="s">
        <v>2</v>
      </c>
      <c r="R4" s="11" t="s">
        <v>30</v>
      </c>
      <c r="S4" s="10" t="s">
        <v>2</v>
      </c>
      <c r="T4" s="11" t="s">
        <v>30</v>
      </c>
      <c r="U4" s="392"/>
      <c r="V4" s="393"/>
      <c r="W4" s="394"/>
      <c r="X4" s="391"/>
    </row>
    <row r="5" spans="1:24" s="119" customFormat="1" ht="14.5" x14ac:dyDescent="0.3">
      <c r="A5" s="126" t="s">
        <v>372</v>
      </c>
      <c r="B5" s="126" t="s">
        <v>238</v>
      </c>
      <c r="C5" s="127" t="s">
        <v>447</v>
      </c>
      <c r="D5" s="47">
        <v>336</v>
      </c>
      <c r="E5" s="127" t="s">
        <v>695</v>
      </c>
      <c r="F5" s="126" t="s">
        <v>692</v>
      </c>
      <c r="G5" s="76" t="s">
        <v>31</v>
      </c>
      <c r="H5" s="76" t="s">
        <v>32</v>
      </c>
      <c r="I5" s="76" t="s">
        <v>33</v>
      </c>
      <c r="J5" s="127" t="s">
        <v>38</v>
      </c>
      <c r="K5" s="127" t="s">
        <v>39</v>
      </c>
      <c r="L5" s="117">
        <v>45019</v>
      </c>
      <c r="M5" s="117">
        <v>45021</v>
      </c>
      <c r="N5" s="118">
        <f t="shared" ref="N5:O7" si="0">3258.83/2</f>
        <v>1629.415</v>
      </c>
      <c r="O5" s="118">
        <f t="shared" si="0"/>
        <v>1629.415</v>
      </c>
      <c r="P5" s="118">
        <f>SUM(N5:O5)</f>
        <v>3258.83</v>
      </c>
      <c r="Q5" s="79">
        <v>3</v>
      </c>
      <c r="R5" s="118">
        <v>120</v>
      </c>
      <c r="S5" s="79">
        <v>0</v>
      </c>
      <c r="T5" s="118">
        <v>0</v>
      </c>
      <c r="U5" s="70">
        <f>Q5*R5+S5*T5</f>
        <v>360</v>
      </c>
      <c r="V5" s="70">
        <f>P5+U5</f>
        <v>3618.83</v>
      </c>
      <c r="W5" s="70">
        <f>V5</f>
        <v>3618.83</v>
      </c>
      <c r="X5" s="79"/>
    </row>
    <row r="6" spans="1:24" s="119" customFormat="1" ht="14.5" x14ac:dyDescent="0.3">
      <c r="A6" s="126" t="s">
        <v>372</v>
      </c>
      <c r="B6" s="110" t="s">
        <v>238</v>
      </c>
      <c r="C6" s="127" t="s">
        <v>135</v>
      </c>
      <c r="D6" s="47">
        <v>230</v>
      </c>
      <c r="E6" s="125" t="s">
        <v>152</v>
      </c>
      <c r="F6" s="126" t="s">
        <v>692</v>
      </c>
      <c r="G6" s="76" t="s">
        <v>31</v>
      </c>
      <c r="H6" s="76" t="s">
        <v>32</v>
      </c>
      <c r="I6" s="76" t="s">
        <v>33</v>
      </c>
      <c r="J6" s="126" t="s">
        <v>32</v>
      </c>
      <c r="K6" s="127" t="s">
        <v>39</v>
      </c>
      <c r="L6" s="117">
        <v>45019</v>
      </c>
      <c r="M6" s="117">
        <v>45021</v>
      </c>
      <c r="N6" s="118">
        <f t="shared" si="0"/>
        <v>1629.415</v>
      </c>
      <c r="O6" s="118">
        <f t="shared" si="0"/>
        <v>1629.415</v>
      </c>
      <c r="P6" s="118">
        <f t="shared" ref="P6:P10" si="1">SUM(N6:O6)</f>
        <v>3258.83</v>
      </c>
      <c r="Q6" s="79">
        <v>6</v>
      </c>
      <c r="R6" s="118">
        <v>120</v>
      </c>
      <c r="S6" s="79">
        <v>0</v>
      </c>
      <c r="T6" s="118">
        <v>0</v>
      </c>
      <c r="U6" s="70">
        <f t="shared" ref="U6:U10" si="2">Q6*R6+S6*T6</f>
        <v>720</v>
      </c>
      <c r="V6" s="70">
        <f t="shared" ref="V6:V10" si="3">P6+U6</f>
        <v>3978.83</v>
      </c>
      <c r="W6" s="70">
        <f t="shared" ref="W6:W10" si="4">V6</f>
        <v>3978.83</v>
      </c>
      <c r="X6" s="79"/>
    </row>
    <row r="7" spans="1:24" s="119" customFormat="1" ht="14.5" x14ac:dyDescent="0.3">
      <c r="A7" s="126" t="s">
        <v>372</v>
      </c>
      <c r="B7" s="110" t="s">
        <v>372</v>
      </c>
      <c r="C7" s="127" t="s">
        <v>134</v>
      </c>
      <c r="D7" s="47">
        <v>202</v>
      </c>
      <c r="E7" s="111" t="s">
        <v>87</v>
      </c>
      <c r="F7" s="126" t="s">
        <v>692</v>
      </c>
      <c r="G7" s="76" t="s">
        <v>31</v>
      </c>
      <c r="H7" s="76" t="s">
        <v>32</v>
      </c>
      <c r="I7" s="76" t="s">
        <v>33</v>
      </c>
      <c r="J7" s="126" t="s">
        <v>32</v>
      </c>
      <c r="K7" s="127" t="s">
        <v>39</v>
      </c>
      <c r="L7" s="117">
        <v>45019</v>
      </c>
      <c r="M7" s="117">
        <v>45021</v>
      </c>
      <c r="N7" s="118">
        <f t="shared" si="0"/>
        <v>1629.415</v>
      </c>
      <c r="O7" s="118">
        <f t="shared" si="0"/>
        <v>1629.415</v>
      </c>
      <c r="P7" s="118">
        <f t="shared" si="1"/>
        <v>3258.83</v>
      </c>
      <c r="Q7" s="79">
        <v>3</v>
      </c>
      <c r="R7" s="118">
        <v>120</v>
      </c>
      <c r="S7" s="79">
        <v>0</v>
      </c>
      <c r="T7" s="118">
        <v>0</v>
      </c>
      <c r="U7" s="70">
        <f t="shared" si="2"/>
        <v>360</v>
      </c>
      <c r="V7" s="70">
        <f t="shared" si="3"/>
        <v>3618.83</v>
      </c>
      <c r="W7" s="70">
        <f t="shared" si="4"/>
        <v>3618.83</v>
      </c>
      <c r="X7" s="79"/>
    </row>
    <row r="8" spans="1:24" s="119" customFormat="1" ht="14.5" x14ac:dyDescent="0.3">
      <c r="A8" s="110" t="s">
        <v>250</v>
      </c>
      <c r="B8" s="110" t="s">
        <v>289</v>
      </c>
      <c r="C8" s="126" t="s">
        <v>642</v>
      </c>
      <c r="D8" s="47">
        <v>252</v>
      </c>
      <c r="E8" s="127" t="s">
        <v>696</v>
      </c>
      <c r="F8" s="126" t="s">
        <v>694</v>
      </c>
      <c r="G8" s="76" t="s">
        <v>31</v>
      </c>
      <c r="H8" s="76" t="s">
        <v>32</v>
      </c>
      <c r="I8" s="76" t="s">
        <v>33</v>
      </c>
      <c r="J8" s="127" t="s">
        <v>595</v>
      </c>
      <c r="K8" s="127" t="s">
        <v>390</v>
      </c>
      <c r="L8" s="117">
        <v>45021</v>
      </c>
      <c r="M8" s="117">
        <v>45036</v>
      </c>
      <c r="N8" s="118">
        <f>1112.2/2</f>
        <v>556.1</v>
      </c>
      <c r="O8" s="118">
        <f>1112.2/2</f>
        <v>556.1</v>
      </c>
      <c r="P8" s="118">
        <f t="shared" si="1"/>
        <v>1112.2</v>
      </c>
      <c r="Q8" s="79">
        <v>16</v>
      </c>
      <c r="R8" s="118">
        <v>120</v>
      </c>
      <c r="S8" s="79">
        <v>0</v>
      </c>
      <c r="T8" s="118">
        <v>0</v>
      </c>
      <c r="U8" s="70">
        <f t="shared" si="2"/>
        <v>1920</v>
      </c>
      <c r="V8" s="70">
        <f t="shared" si="3"/>
        <v>3032.2</v>
      </c>
      <c r="W8" s="70">
        <f t="shared" si="4"/>
        <v>3032.2</v>
      </c>
      <c r="X8" s="79"/>
    </row>
    <row r="9" spans="1:24" s="119" customFormat="1" ht="14.5" x14ac:dyDescent="0.3">
      <c r="A9" s="110" t="s">
        <v>250</v>
      </c>
      <c r="B9" s="110" t="s">
        <v>250</v>
      </c>
      <c r="C9" s="127" t="s">
        <v>670</v>
      </c>
      <c r="D9" s="47">
        <v>383</v>
      </c>
      <c r="E9" s="122" t="s">
        <v>677</v>
      </c>
      <c r="F9" s="126" t="s">
        <v>693</v>
      </c>
      <c r="G9" s="76" t="s">
        <v>31</v>
      </c>
      <c r="H9" s="76" t="s">
        <v>32</v>
      </c>
      <c r="I9" s="127" t="s">
        <v>33</v>
      </c>
      <c r="J9" s="127" t="s">
        <v>38</v>
      </c>
      <c r="K9" s="127" t="s">
        <v>39</v>
      </c>
      <c r="L9" s="117">
        <v>45040</v>
      </c>
      <c r="M9" s="117">
        <v>45041</v>
      </c>
      <c r="N9" s="118">
        <f>5617.58/2</f>
        <v>2808.79</v>
      </c>
      <c r="O9" s="118">
        <f>5617.58/2</f>
        <v>2808.79</v>
      </c>
      <c r="P9" s="118">
        <f t="shared" si="1"/>
        <v>5617.58</v>
      </c>
      <c r="Q9" s="79">
        <v>2</v>
      </c>
      <c r="R9" s="118">
        <v>120</v>
      </c>
      <c r="S9" s="79">
        <v>0</v>
      </c>
      <c r="T9" s="118">
        <v>0</v>
      </c>
      <c r="U9" s="70">
        <f t="shared" si="2"/>
        <v>240</v>
      </c>
      <c r="V9" s="70">
        <f t="shared" si="3"/>
        <v>5857.58</v>
      </c>
      <c r="W9" s="70">
        <f t="shared" si="4"/>
        <v>5857.58</v>
      </c>
      <c r="X9" s="79"/>
    </row>
    <row r="10" spans="1:24" s="119" customFormat="1" ht="14.5" x14ac:dyDescent="0.3">
      <c r="A10" s="126" t="s">
        <v>250</v>
      </c>
      <c r="B10" s="110" t="s">
        <v>250</v>
      </c>
      <c r="C10" s="126" t="s">
        <v>378</v>
      </c>
      <c r="D10" s="47"/>
      <c r="E10" s="125" t="s">
        <v>55</v>
      </c>
      <c r="F10" s="125" t="s">
        <v>693</v>
      </c>
      <c r="G10" s="76" t="s">
        <v>31</v>
      </c>
      <c r="H10" s="76" t="s">
        <v>32</v>
      </c>
      <c r="I10" s="76" t="s">
        <v>33</v>
      </c>
      <c r="J10" s="126" t="s">
        <v>32</v>
      </c>
      <c r="K10" s="127" t="s">
        <v>39</v>
      </c>
      <c r="L10" s="117">
        <v>45040</v>
      </c>
      <c r="M10" s="117">
        <v>45041</v>
      </c>
      <c r="N10" s="118">
        <f>5617.58/2</f>
        <v>2808.79</v>
      </c>
      <c r="O10" s="118">
        <f>5617.58/2</f>
        <v>2808.79</v>
      </c>
      <c r="P10" s="118">
        <f t="shared" si="1"/>
        <v>5617.58</v>
      </c>
      <c r="Q10" s="79">
        <v>0</v>
      </c>
      <c r="R10" s="118">
        <v>0</v>
      </c>
      <c r="S10" s="79">
        <v>0</v>
      </c>
      <c r="T10" s="118">
        <v>0</v>
      </c>
      <c r="U10" s="70">
        <f t="shared" si="2"/>
        <v>0</v>
      </c>
      <c r="V10" s="70">
        <f t="shared" si="3"/>
        <v>5617.58</v>
      </c>
      <c r="W10" s="70">
        <f t="shared" si="4"/>
        <v>5617.58</v>
      </c>
      <c r="X10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X19"/>
  <sheetViews>
    <sheetView workbookViewId="0">
      <selection activeCell="D5" sqref="D5:E6"/>
    </sheetView>
  </sheetViews>
  <sheetFormatPr defaultRowHeight="14" x14ac:dyDescent="0.3"/>
  <cols>
    <col min="1" max="2" width="38.33203125" bestFit="1" customWidth="1"/>
    <col min="3" max="3" width="46.5" customWidth="1"/>
    <col min="4" max="4" width="15" bestFit="1" customWidth="1"/>
    <col min="5" max="5" width="32.08203125" bestFit="1" customWidth="1"/>
    <col min="6" max="6" width="59.5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92"/>
      <c r="B4" s="392"/>
      <c r="C4" s="392"/>
      <c r="D4" s="392"/>
      <c r="E4" s="392"/>
      <c r="F4" s="392"/>
      <c r="G4" s="392"/>
      <c r="H4" s="10" t="s">
        <v>27</v>
      </c>
      <c r="I4" s="10" t="s">
        <v>28</v>
      </c>
      <c r="J4" s="10" t="s">
        <v>27</v>
      </c>
      <c r="K4" s="11" t="s">
        <v>29</v>
      </c>
      <c r="L4" s="392"/>
      <c r="M4" s="392"/>
      <c r="N4" s="393"/>
      <c r="O4" s="393"/>
      <c r="P4" s="393"/>
      <c r="Q4" s="10" t="s">
        <v>2</v>
      </c>
      <c r="R4" s="11" t="s">
        <v>30</v>
      </c>
      <c r="S4" s="10" t="s">
        <v>2</v>
      </c>
      <c r="T4" s="11" t="s">
        <v>30</v>
      </c>
      <c r="U4" s="392"/>
      <c r="V4" s="393"/>
      <c r="W4" s="394"/>
      <c r="X4" s="391"/>
    </row>
    <row r="5" spans="1:24" s="119" customFormat="1" ht="14.5" x14ac:dyDescent="0.3">
      <c r="A5" s="126" t="s">
        <v>250</v>
      </c>
      <c r="B5" s="126" t="s">
        <v>250</v>
      </c>
      <c r="C5" s="128" t="s">
        <v>378</v>
      </c>
      <c r="D5" s="47"/>
      <c r="E5" s="125" t="s">
        <v>55</v>
      </c>
      <c r="F5" s="126" t="s">
        <v>702</v>
      </c>
      <c r="G5" s="76" t="s">
        <v>31</v>
      </c>
      <c r="H5" s="76" t="s">
        <v>32</v>
      </c>
      <c r="I5" s="76" t="s">
        <v>33</v>
      </c>
      <c r="J5" s="128" t="s">
        <v>38</v>
      </c>
      <c r="K5" s="128" t="s">
        <v>39</v>
      </c>
      <c r="L5" s="117">
        <v>45055</v>
      </c>
      <c r="M5" s="117">
        <v>45060</v>
      </c>
      <c r="N5" s="118">
        <f>1309.52/2</f>
        <v>654.76</v>
      </c>
      <c r="O5" s="118">
        <f>1309.52/2</f>
        <v>654.76</v>
      </c>
      <c r="P5" s="118">
        <f>SUM(N5:O5)</f>
        <v>1309.52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1309.52</v>
      </c>
      <c r="W5" s="70">
        <f>V5</f>
        <v>1309.52</v>
      </c>
      <c r="X5" s="79"/>
    </row>
    <row r="6" spans="1:24" s="119" customFormat="1" ht="14.5" x14ac:dyDescent="0.3">
      <c r="A6" s="126" t="s">
        <v>250</v>
      </c>
      <c r="B6" s="110" t="s">
        <v>250</v>
      </c>
      <c r="C6" s="127" t="s">
        <v>670</v>
      </c>
      <c r="D6" s="47">
        <v>383</v>
      </c>
      <c r="E6" s="128" t="s">
        <v>703</v>
      </c>
      <c r="F6" s="126" t="s">
        <v>701</v>
      </c>
      <c r="G6" s="76" t="s">
        <v>31</v>
      </c>
      <c r="H6" s="76" t="s">
        <v>32</v>
      </c>
      <c r="I6" s="76" t="s">
        <v>33</v>
      </c>
      <c r="J6" s="128" t="s">
        <v>38</v>
      </c>
      <c r="K6" s="127" t="s">
        <v>39</v>
      </c>
      <c r="L6" s="117">
        <v>45055</v>
      </c>
      <c r="M6" s="117">
        <v>45057</v>
      </c>
      <c r="N6" s="118">
        <f>1592.83/2</f>
        <v>796.41499999999996</v>
      </c>
      <c r="O6" s="118">
        <f>1592.83/2</f>
        <v>796.41499999999996</v>
      </c>
      <c r="P6" s="118">
        <f t="shared" ref="P6:P11" si="0">SUM(N6:O6)</f>
        <v>1592.83</v>
      </c>
      <c r="Q6" s="79">
        <v>3</v>
      </c>
      <c r="R6" s="118">
        <v>120</v>
      </c>
      <c r="S6" s="79">
        <v>0</v>
      </c>
      <c r="T6" s="118">
        <v>0</v>
      </c>
      <c r="U6" s="70">
        <f t="shared" ref="U6:U10" si="1">Q6*R6+S6*T6</f>
        <v>360</v>
      </c>
      <c r="V6" s="70">
        <f t="shared" ref="V6:V10" si="2">P6+U6</f>
        <v>1952.83</v>
      </c>
      <c r="W6" s="70">
        <f t="shared" ref="W6:W10" si="3">V6</f>
        <v>1952.83</v>
      </c>
      <c r="X6" s="79"/>
    </row>
    <row r="7" spans="1:24" s="119" customFormat="1" ht="14.5" x14ac:dyDescent="0.3">
      <c r="A7" s="126" t="s">
        <v>372</v>
      </c>
      <c r="B7" s="110" t="s">
        <v>372</v>
      </c>
      <c r="C7" s="127" t="s">
        <v>134</v>
      </c>
      <c r="D7" s="47">
        <v>202</v>
      </c>
      <c r="E7" s="128" t="s">
        <v>704</v>
      </c>
      <c r="F7" s="126" t="s">
        <v>701</v>
      </c>
      <c r="G7" s="76" t="s">
        <v>31</v>
      </c>
      <c r="H7" s="76" t="s">
        <v>32</v>
      </c>
      <c r="I7" s="76" t="s">
        <v>33</v>
      </c>
      <c r="J7" s="128" t="s">
        <v>38</v>
      </c>
      <c r="K7" s="127" t="s">
        <v>39</v>
      </c>
      <c r="L7" s="117">
        <v>45055</v>
      </c>
      <c r="M7" s="117">
        <v>45057</v>
      </c>
      <c r="N7" s="118">
        <f>1619.83/2</f>
        <v>809.91499999999996</v>
      </c>
      <c r="O7" s="118">
        <f>1619.83/2</f>
        <v>809.91499999999996</v>
      </c>
      <c r="P7" s="118">
        <f t="shared" si="0"/>
        <v>1619.83</v>
      </c>
      <c r="Q7" s="79">
        <v>3</v>
      </c>
      <c r="R7" s="118">
        <v>120</v>
      </c>
      <c r="S7" s="79">
        <v>0</v>
      </c>
      <c r="T7" s="118">
        <v>0</v>
      </c>
      <c r="U7" s="70">
        <f>Q7*R7+S7*T7</f>
        <v>360</v>
      </c>
      <c r="V7" s="70">
        <f t="shared" si="2"/>
        <v>1979.83</v>
      </c>
      <c r="W7" s="70">
        <f t="shared" si="3"/>
        <v>1979.83</v>
      </c>
      <c r="X7" s="79"/>
    </row>
    <row r="8" spans="1:24" s="119" customFormat="1" ht="14.5" x14ac:dyDescent="0.3">
      <c r="A8" s="126" t="s">
        <v>372</v>
      </c>
      <c r="B8" s="110" t="s">
        <v>372</v>
      </c>
      <c r="C8" s="126" t="s">
        <v>75</v>
      </c>
      <c r="D8" s="47"/>
      <c r="E8" s="110" t="s">
        <v>88</v>
      </c>
      <c r="F8" s="126" t="s">
        <v>701</v>
      </c>
      <c r="G8" s="76" t="s">
        <v>31</v>
      </c>
      <c r="H8" s="76" t="s">
        <v>32</v>
      </c>
      <c r="I8" s="76" t="s">
        <v>33</v>
      </c>
      <c r="J8" s="128" t="s">
        <v>38</v>
      </c>
      <c r="K8" s="127" t="s">
        <v>39</v>
      </c>
      <c r="L8" s="117">
        <v>45055</v>
      </c>
      <c r="M8" s="117">
        <v>45057</v>
      </c>
      <c r="N8" s="118">
        <f>1699.96/2</f>
        <v>849.98</v>
      </c>
      <c r="O8" s="118">
        <f>1699.96/2</f>
        <v>849.98</v>
      </c>
      <c r="P8" s="118">
        <f t="shared" si="0"/>
        <v>1699.96</v>
      </c>
      <c r="Q8" s="79">
        <v>0</v>
      </c>
      <c r="R8" s="118">
        <v>0</v>
      </c>
      <c r="S8" s="79">
        <v>0</v>
      </c>
      <c r="T8" s="118">
        <v>0</v>
      </c>
      <c r="U8" s="70">
        <f t="shared" si="1"/>
        <v>0</v>
      </c>
      <c r="V8" s="70">
        <f t="shared" si="2"/>
        <v>1699.96</v>
      </c>
      <c r="W8" s="70">
        <f t="shared" si="3"/>
        <v>1699.96</v>
      </c>
      <c r="X8" s="79"/>
    </row>
    <row r="9" spans="1:24" s="119" customFormat="1" ht="14.5" x14ac:dyDescent="0.3">
      <c r="A9" s="110" t="s">
        <v>229</v>
      </c>
      <c r="B9" s="110" t="s">
        <v>239</v>
      </c>
      <c r="C9" s="127" t="s">
        <v>697</v>
      </c>
      <c r="D9" s="47">
        <v>394</v>
      </c>
      <c r="E9" s="128" t="s">
        <v>705</v>
      </c>
      <c r="F9" s="126" t="s">
        <v>700</v>
      </c>
      <c r="G9" s="76" t="s">
        <v>31</v>
      </c>
      <c r="H9" s="76" t="s">
        <v>32</v>
      </c>
      <c r="I9" s="76" t="s">
        <v>33</v>
      </c>
      <c r="J9" s="128" t="s">
        <v>111</v>
      </c>
      <c r="K9" s="128" t="s">
        <v>112</v>
      </c>
      <c r="L9" s="117">
        <v>45056</v>
      </c>
      <c r="M9" s="117">
        <v>45058</v>
      </c>
      <c r="N9" s="118">
        <f>5095/2</f>
        <v>2547.5</v>
      </c>
      <c r="O9" s="118">
        <f>5095/2</f>
        <v>2547.5</v>
      </c>
      <c r="P9" s="118">
        <f t="shared" si="0"/>
        <v>5095</v>
      </c>
      <c r="Q9" s="79">
        <v>3</v>
      </c>
      <c r="R9" s="118">
        <v>120</v>
      </c>
      <c r="S9" s="79">
        <v>0</v>
      </c>
      <c r="T9" s="118">
        <v>0</v>
      </c>
      <c r="U9" s="70">
        <f t="shared" si="1"/>
        <v>360</v>
      </c>
      <c r="V9" s="70">
        <f t="shared" si="2"/>
        <v>5455</v>
      </c>
      <c r="W9" s="70">
        <f t="shared" si="3"/>
        <v>5455</v>
      </c>
      <c r="X9" s="79"/>
    </row>
    <row r="10" spans="1:24" s="119" customFormat="1" ht="14.5" x14ac:dyDescent="0.3">
      <c r="A10" s="126" t="s">
        <v>229</v>
      </c>
      <c r="B10" s="110" t="s">
        <v>229</v>
      </c>
      <c r="C10" s="126" t="s">
        <v>698</v>
      </c>
      <c r="D10" s="47"/>
      <c r="E10" s="110" t="s">
        <v>561</v>
      </c>
      <c r="F10" s="125" t="s">
        <v>700</v>
      </c>
      <c r="G10" s="76" t="s">
        <v>31</v>
      </c>
      <c r="H10" s="76" t="s">
        <v>32</v>
      </c>
      <c r="I10" s="76" t="s">
        <v>33</v>
      </c>
      <c r="J10" s="128" t="s">
        <v>111</v>
      </c>
      <c r="K10" s="128" t="s">
        <v>112</v>
      </c>
      <c r="L10" s="117">
        <v>45056</v>
      </c>
      <c r="M10" s="117">
        <v>45058</v>
      </c>
      <c r="N10" s="118">
        <f>4603/2</f>
        <v>2301.5</v>
      </c>
      <c r="O10" s="118">
        <f>4603/2</f>
        <v>2301.5</v>
      </c>
      <c r="P10" s="118">
        <f t="shared" si="0"/>
        <v>4603</v>
      </c>
      <c r="Q10" s="79">
        <v>0</v>
      </c>
      <c r="R10" s="118">
        <v>0</v>
      </c>
      <c r="S10" s="79">
        <v>0</v>
      </c>
      <c r="T10" s="118">
        <v>0</v>
      </c>
      <c r="U10" s="70">
        <f t="shared" si="1"/>
        <v>0</v>
      </c>
      <c r="V10" s="70">
        <f t="shared" si="2"/>
        <v>4603</v>
      </c>
      <c r="W10" s="70">
        <f t="shared" si="3"/>
        <v>4603</v>
      </c>
      <c r="X10" s="79"/>
    </row>
    <row r="11" spans="1:24" ht="14.5" x14ac:dyDescent="0.3">
      <c r="A11" s="427" t="s">
        <v>250</v>
      </c>
      <c r="B11" s="427" t="s">
        <v>250</v>
      </c>
      <c r="C11" s="420" t="s">
        <v>378</v>
      </c>
      <c r="D11" s="421"/>
      <c r="E11" s="406" t="s">
        <v>55</v>
      </c>
      <c r="F11" s="424" t="s">
        <v>699</v>
      </c>
      <c r="G11" s="76" t="s">
        <v>31</v>
      </c>
      <c r="H11" s="76" t="s">
        <v>32</v>
      </c>
      <c r="I11" s="76" t="s">
        <v>33</v>
      </c>
      <c r="J11" s="128" t="s">
        <v>38</v>
      </c>
      <c r="K11" s="127" t="s">
        <v>39</v>
      </c>
      <c r="L11" s="129">
        <v>45063</v>
      </c>
      <c r="M11" s="129">
        <v>45064</v>
      </c>
      <c r="N11" s="404">
        <f>8486.12/2</f>
        <v>4243.0600000000004</v>
      </c>
      <c r="O11" s="404">
        <f>8486.12/2</f>
        <v>4243.0600000000004</v>
      </c>
      <c r="P11" s="404">
        <f t="shared" si="0"/>
        <v>8486.1200000000008</v>
      </c>
      <c r="Q11" s="414">
        <v>0</v>
      </c>
      <c r="R11" s="404">
        <v>0</v>
      </c>
      <c r="S11" s="414">
        <v>0</v>
      </c>
      <c r="T11" s="404">
        <v>0</v>
      </c>
      <c r="U11" s="414">
        <v>0</v>
      </c>
      <c r="V11" s="395">
        <f t="shared" ref="V11:V14" si="4">P11+U11</f>
        <v>8486.1200000000008</v>
      </c>
      <c r="W11" s="395">
        <f t="shared" ref="W11:W14" si="5">V11</f>
        <v>8486.1200000000008</v>
      </c>
      <c r="X11" s="402"/>
    </row>
    <row r="12" spans="1:24" ht="14.5" x14ac:dyDescent="0.3">
      <c r="A12" s="427"/>
      <c r="B12" s="427"/>
      <c r="C12" s="420"/>
      <c r="D12" s="422"/>
      <c r="E12" s="428"/>
      <c r="F12" s="425"/>
      <c r="G12" s="76" t="s">
        <v>31</v>
      </c>
      <c r="H12" s="128" t="s">
        <v>38</v>
      </c>
      <c r="I12" s="127" t="s">
        <v>39</v>
      </c>
      <c r="J12" s="128" t="s">
        <v>121</v>
      </c>
      <c r="K12" s="128" t="s">
        <v>62</v>
      </c>
      <c r="L12" s="129">
        <v>45064</v>
      </c>
      <c r="M12" s="129">
        <v>45064</v>
      </c>
      <c r="N12" s="413"/>
      <c r="O12" s="413"/>
      <c r="P12" s="413"/>
      <c r="Q12" s="414"/>
      <c r="R12" s="413"/>
      <c r="S12" s="414"/>
      <c r="T12" s="413"/>
      <c r="U12" s="414"/>
      <c r="V12" s="415"/>
      <c r="W12" s="415"/>
      <c r="X12" s="402"/>
    </row>
    <row r="13" spans="1:24" ht="14.5" x14ac:dyDescent="0.3">
      <c r="A13" s="427"/>
      <c r="B13" s="427"/>
      <c r="C13" s="420"/>
      <c r="D13" s="423"/>
      <c r="E13" s="407"/>
      <c r="F13" s="426"/>
      <c r="G13" s="76" t="s">
        <v>31</v>
      </c>
      <c r="H13" s="128" t="s">
        <v>121</v>
      </c>
      <c r="I13" s="128" t="s">
        <v>62</v>
      </c>
      <c r="J13" s="76" t="s">
        <v>32</v>
      </c>
      <c r="K13" s="76" t="s">
        <v>33</v>
      </c>
      <c r="L13" s="129">
        <v>45064</v>
      </c>
      <c r="M13" s="129">
        <v>45064</v>
      </c>
      <c r="N13" s="405"/>
      <c r="O13" s="405"/>
      <c r="P13" s="405"/>
      <c r="Q13" s="414"/>
      <c r="R13" s="405"/>
      <c r="S13" s="414"/>
      <c r="T13" s="405"/>
      <c r="U13" s="414"/>
      <c r="V13" s="396"/>
      <c r="W13" s="396"/>
      <c r="X13" s="402"/>
    </row>
    <row r="14" spans="1:24" ht="14.5" x14ac:dyDescent="0.3">
      <c r="A14" s="408" t="s">
        <v>372</v>
      </c>
      <c r="B14" s="417" t="s">
        <v>372</v>
      </c>
      <c r="C14" s="420" t="s">
        <v>75</v>
      </c>
      <c r="D14" s="421"/>
      <c r="E14" s="417" t="s">
        <v>88</v>
      </c>
      <c r="F14" s="424" t="s">
        <v>699</v>
      </c>
      <c r="G14" s="76" t="s">
        <v>31</v>
      </c>
      <c r="H14" s="76" t="s">
        <v>32</v>
      </c>
      <c r="I14" s="76" t="s">
        <v>33</v>
      </c>
      <c r="J14" s="128" t="s">
        <v>38</v>
      </c>
      <c r="K14" s="127" t="s">
        <v>39</v>
      </c>
      <c r="L14" s="129">
        <v>45063</v>
      </c>
      <c r="M14" s="129">
        <v>45064</v>
      </c>
      <c r="N14" s="404">
        <f>8375.42/2</f>
        <v>4187.71</v>
      </c>
      <c r="O14" s="404">
        <f>8375.42/2</f>
        <v>4187.71</v>
      </c>
      <c r="P14" s="404">
        <f>SUM(N14:O16)</f>
        <v>8375.42</v>
      </c>
      <c r="Q14" s="414">
        <v>0</v>
      </c>
      <c r="R14" s="404">
        <v>0</v>
      </c>
      <c r="S14" s="414">
        <v>0</v>
      </c>
      <c r="T14" s="404">
        <v>0</v>
      </c>
      <c r="U14" s="414">
        <v>0</v>
      </c>
      <c r="V14" s="395">
        <f t="shared" si="4"/>
        <v>8375.42</v>
      </c>
      <c r="W14" s="395">
        <f t="shared" si="5"/>
        <v>8375.42</v>
      </c>
      <c r="X14" s="402"/>
    </row>
    <row r="15" spans="1:24" ht="14.5" x14ac:dyDescent="0.3">
      <c r="A15" s="416"/>
      <c r="B15" s="418"/>
      <c r="C15" s="420"/>
      <c r="D15" s="422"/>
      <c r="E15" s="418"/>
      <c r="F15" s="425"/>
      <c r="G15" s="76" t="s">
        <v>31</v>
      </c>
      <c r="H15" s="128" t="s">
        <v>121</v>
      </c>
      <c r="I15" s="127" t="s">
        <v>39</v>
      </c>
      <c r="J15" s="128" t="s">
        <v>121</v>
      </c>
      <c r="K15" s="128" t="s">
        <v>62</v>
      </c>
      <c r="L15" s="129">
        <v>45064</v>
      </c>
      <c r="M15" s="129">
        <v>45064</v>
      </c>
      <c r="N15" s="413"/>
      <c r="O15" s="413"/>
      <c r="P15" s="413"/>
      <c r="Q15" s="414"/>
      <c r="R15" s="413"/>
      <c r="S15" s="414"/>
      <c r="T15" s="413"/>
      <c r="U15" s="414"/>
      <c r="V15" s="415"/>
      <c r="W15" s="415"/>
      <c r="X15" s="402"/>
    </row>
    <row r="16" spans="1:24" ht="14.5" x14ac:dyDescent="0.3">
      <c r="A16" s="409"/>
      <c r="B16" s="419"/>
      <c r="C16" s="420"/>
      <c r="D16" s="423"/>
      <c r="E16" s="419"/>
      <c r="F16" s="426"/>
      <c r="G16" s="76" t="s">
        <v>31</v>
      </c>
      <c r="H16" s="128" t="s">
        <v>38</v>
      </c>
      <c r="I16" s="128" t="s">
        <v>62</v>
      </c>
      <c r="J16" s="128" t="s">
        <v>111</v>
      </c>
      <c r="K16" s="128" t="s">
        <v>112</v>
      </c>
      <c r="L16" s="129">
        <v>45064</v>
      </c>
      <c r="M16" s="129">
        <v>45064</v>
      </c>
      <c r="N16" s="405"/>
      <c r="O16" s="405"/>
      <c r="P16" s="405"/>
      <c r="Q16" s="414"/>
      <c r="R16" s="405"/>
      <c r="S16" s="414"/>
      <c r="T16" s="405"/>
      <c r="U16" s="414"/>
      <c r="V16" s="396"/>
      <c r="W16" s="396"/>
      <c r="X16" s="402"/>
    </row>
    <row r="17" spans="1:24" ht="14.5" x14ac:dyDescent="0.3">
      <c r="A17" s="408" t="s">
        <v>229</v>
      </c>
      <c r="B17" s="417" t="s">
        <v>229</v>
      </c>
      <c r="C17" s="420" t="s">
        <v>698</v>
      </c>
      <c r="D17" s="421"/>
      <c r="E17" s="417" t="s">
        <v>561</v>
      </c>
      <c r="F17" s="424" t="s">
        <v>699</v>
      </c>
      <c r="G17" s="76" t="s">
        <v>31</v>
      </c>
      <c r="H17" s="76" t="s">
        <v>32</v>
      </c>
      <c r="I17" s="76" t="s">
        <v>33</v>
      </c>
      <c r="J17" s="128" t="s">
        <v>38</v>
      </c>
      <c r="K17" s="127" t="s">
        <v>39</v>
      </c>
      <c r="L17" s="129">
        <v>45063</v>
      </c>
      <c r="M17" s="129">
        <v>45064</v>
      </c>
      <c r="N17" s="404">
        <f>8219.66/2</f>
        <v>4109.83</v>
      </c>
      <c r="O17" s="404">
        <f>8219.66/2</f>
        <v>4109.83</v>
      </c>
      <c r="P17" s="404">
        <f>SUM(N17:O19)</f>
        <v>8219.66</v>
      </c>
      <c r="Q17" s="414">
        <v>0</v>
      </c>
      <c r="R17" s="404">
        <v>0</v>
      </c>
      <c r="S17" s="414">
        <v>0</v>
      </c>
      <c r="T17" s="404">
        <v>0</v>
      </c>
      <c r="U17" s="414">
        <v>0</v>
      </c>
      <c r="V17" s="395">
        <f t="shared" ref="V17" si="6">P17+U17</f>
        <v>8219.66</v>
      </c>
      <c r="W17" s="395">
        <f t="shared" ref="W17" si="7">V17</f>
        <v>8219.66</v>
      </c>
      <c r="X17" s="402"/>
    </row>
    <row r="18" spans="1:24" ht="14.5" x14ac:dyDescent="0.3">
      <c r="A18" s="416"/>
      <c r="B18" s="418"/>
      <c r="C18" s="420"/>
      <c r="D18" s="422"/>
      <c r="E18" s="418"/>
      <c r="F18" s="425"/>
      <c r="G18" s="76" t="s">
        <v>31</v>
      </c>
      <c r="H18" s="128" t="s">
        <v>38</v>
      </c>
      <c r="I18" s="127" t="s">
        <v>39</v>
      </c>
      <c r="J18" s="128" t="s">
        <v>121</v>
      </c>
      <c r="K18" s="128" t="s">
        <v>62</v>
      </c>
      <c r="L18" s="129">
        <v>45064</v>
      </c>
      <c r="M18" s="129">
        <v>45064</v>
      </c>
      <c r="N18" s="413"/>
      <c r="O18" s="413"/>
      <c r="P18" s="413"/>
      <c r="Q18" s="414"/>
      <c r="R18" s="413"/>
      <c r="S18" s="414"/>
      <c r="T18" s="413"/>
      <c r="U18" s="414"/>
      <c r="V18" s="415"/>
      <c r="W18" s="415"/>
      <c r="X18" s="402"/>
    </row>
    <row r="19" spans="1:24" ht="14.5" x14ac:dyDescent="0.3">
      <c r="A19" s="409"/>
      <c r="B19" s="419"/>
      <c r="C19" s="420"/>
      <c r="D19" s="423"/>
      <c r="E19" s="419"/>
      <c r="F19" s="426"/>
      <c r="G19" s="76" t="s">
        <v>31</v>
      </c>
      <c r="H19" s="128" t="s">
        <v>121</v>
      </c>
      <c r="I19" s="128" t="s">
        <v>62</v>
      </c>
      <c r="J19" s="76" t="s">
        <v>32</v>
      </c>
      <c r="K19" s="76" t="s">
        <v>33</v>
      </c>
      <c r="L19" s="129">
        <v>45064</v>
      </c>
      <c r="M19" s="129">
        <v>45064</v>
      </c>
      <c r="N19" s="405"/>
      <c r="O19" s="405"/>
      <c r="P19" s="405"/>
      <c r="Q19" s="414"/>
      <c r="R19" s="405"/>
      <c r="S19" s="414"/>
      <c r="T19" s="405"/>
      <c r="U19" s="414"/>
      <c r="V19" s="396"/>
      <c r="W19" s="396"/>
      <c r="X19" s="402"/>
    </row>
  </sheetData>
  <mergeCells count="77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  <mergeCell ref="M3:M4"/>
    <mergeCell ref="N3:N4"/>
    <mergeCell ref="A11:A13"/>
    <mergeCell ref="B11:B13"/>
    <mergeCell ref="C11:C13"/>
    <mergeCell ref="D11:D13"/>
    <mergeCell ref="E11:E13"/>
    <mergeCell ref="N11:N13"/>
    <mergeCell ref="G3:G4"/>
    <mergeCell ref="H3:I3"/>
    <mergeCell ref="F11:F13"/>
    <mergeCell ref="J3:K3"/>
    <mergeCell ref="L3:L4"/>
    <mergeCell ref="S11:S13"/>
    <mergeCell ref="Q3:R3"/>
    <mergeCell ref="S3:T3"/>
    <mergeCell ref="U3:U4"/>
    <mergeCell ref="V3:V4"/>
    <mergeCell ref="T11:T13"/>
    <mergeCell ref="U11:U13"/>
    <mergeCell ref="V11:V13"/>
    <mergeCell ref="Q11:Q13"/>
    <mergeCell ref="R11:R13"/>
    <mergeCell ref="A14:A16"/>
    <mergeCell ref="B14:B16"/>
    <mergeCell ref="C14:C16"/>
    <mergeCell ref="D14:D16"/>
    <mergeCell ref="E14:E16"/>
    <mergeCell ref="W11:W13"/>
    <mergeCell ref="X11:X13"/>
    <mergeCell ref="X14:X16"/>
    <mergeCell ref="F14:F16"/>
    <mergeCell ref="N14:N16"/>
    <mergeCell ref="O14:O16"/>
    <mergeCell ref="P14:P16"/>
    <mergeCell ref="Q14:Q16"/>
    <mergeCell ref="R14:R16"/>
    <mergeCell ref="S14:S16"/>
    <mergeCell ref="T14:T16"/>
    <mergeCell ref="U14:U16"/>
    <mergeCell ref="V14:V16"/>
    <mergeCell ref="W14:W16"/>
    <mergeCell ref="O11:O13"/>
    <mergeCell ref="P11:P13"/>
    <mergeCell ref="S17:S19"/>
    <mergeCell ref="A17:A19"/>
    <mergeCell ref="B17:B19"/>
    <mergeCell ref="C17:C19"/>
    <mergeCell ref="D17:D19"/>
    <mergeCell ref="E17:E19"/>
    <mergeCell ref="F17:F19"/>
    <mergeCell ref="N17:N19"/>
    <mergeCell ref="O17:O19"/>
    <mergeCell ref="P17:P19"/>
    <mergeCell ref="Q17:Q19"/>
    <mergeCell ref="R17:R19"/>
    <mergeCell ref="T17:T19"/>
    <mergeCell ref="U17:U19"/>
    <mergeCell ref="V17:V19"/>
    <mergeCell ref="W17:W19"/>
    <mergeCell ref="X17:X1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X15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37.83203125" bestFit="1" customWidth="1"/>
    <col min="4" max="4" width="15" bestFit="1" customWidth="1"/>
    <col min="5" max="5" width="23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92"/>
      <c r="B4" s="392"/>
      <c r="C4" s="392"/>
      <c r="D4" s="392"/>
      <c r="E4" s="392"/>
      <c r="F4" s="392"/>
      <c r="G4" s="392"/>
      <c r="H4" s="10" t="s">
        <v>27</v>
      </c>
      <c r="I4" s="10" t="s">
        <v>28</v>
      </c>
      <c r="J4" s="10" t="s">
        <v>27</v>
      </c>
      <c r="K4" s="11" t="s">
        <v>29</v>
      </c>
      <c r="L4" s="392"/>
      <c r="M4" s="392"/>
      <c r="N4" s="393"/>
      <c r="O4" s="393"/>
      <c r="P4" s="393"/>
      <c r="Q4" s="10" t="s">
        <v>2</v>
      </c>
      <c r="R4" s="11" t="s">
        <v>30</v>
      </c>
      <c r="S4" s="10" t="s">
        <v>2</v>
      </c>
      <c r="T4" s="11" t="s">
        <v>30</v>
      </c>
      <c r="U4" s="392"/>
      <c r="V4" s="393"/>
      <c r="W4" s="394"/>
      <c r="X4" s="391"/>
    </row>
    <row r="5" spans="1:24" s="119" customFormat="1" ht="29" x14ac:dyDescent="0.3">
      <c r="A5" s="126" t="s">
        <v>372</v>
      </c>
      <c r="B5" s="126" t="s">
        <v>372</v>
      </c>
      <c r="C5" s="128" t="s">
        <v>75</v>
      </c>
      <c r="D5" s="47">
        <v>0</v>
      </c>
      <c r="E5" s="114" t="s">
        <v>88</v>
      </c>
      <c r="F5" s="126" t="s">
        <v>713</v>
      </c>
      <c r="G5" s="76" t="s">
        <v>31</v>
      </c>
      <c r="H5" s="76" t="s">
        <v>111</v>
      </c>
      <c r="I5" s="76" t="s">
        <v>112</v>
      </c>
      <c r="J5" s="128" t="s">
        <v>38</v>
      </c>
      <c r="K5" s="128" t="s">
        <v>39</v>
      </c>
      <c r="L5" s="117">
        <v>45096</v>
      </c>
      <c r="M5" s="117">
        <v>45099</v>
      </c>
      <c r="N5" s="118">
        <f>2027.55/2</f>
        <v>1013.775</v>
      </c>
      <c r="O5" s="118">
        <f>2027.55/2</f>
        <v>1013.775</v>
      </c>
      <c r="P5" s="118">
        <f t="shared" ref="P5:P15" si="0">SUM(N5:O5)</f>
        <v>2027.55</v>
      </c>
      <c r="Q5" s="79">
        <v>0</v>
      </c>
      <c r="R5" s="118">
        <v>0</v>
      </c>
      <c r="S5" s="79">
        <v>0</v>
      </c>
      <c r="T5" s="118">
        <v>0</v>
      </c>
      <c r="U5" s="70">
        <f t="shared" ref="U5:U9" si="1">Q5*R5+S5*T5</f>
        <v>0</v>
      </c>
      <c r="V5" s="70">
        <f t="shared" ref="V5:V9" si="2">P5+U5</f>
        <v>2027.55</v>
      </c>
      <c r="W5" s="70">
        <f t="shared" ref="W5:W9" si="3">V5</f>
        <v>2027.55</v>
      </c>
      <c r="X5" s="79"/>
    </row>
    <row r="6" spans="1:24" s="119" customFormat="1" ht="14.5" x14ac:dyDescent="0.3">
      <c r="A6" s="133" t="s">
        <v>250</v>
      </c>
      <c r="B6" s="126" t="s">
        <v>212</v>
      </c>
      <c r="C6" s="128" t="s">
        <v>40</v>
      </c>
      <c r="D6" s="47">
        <v>129</v>
      </c>
      <c r="E6" s="131" t="s">
        <v>53</v>
      </c>
      <c r="F6" s="126" t="s">
        <v>714</v>
      </c>
      <c r="G6" s="76" t="s">
        <v>31</v>
      </c>
      <c r="H6" s="76" t="s">
        <v>32</v>
      </c>
      <c r="I6" s="76" t="s">
        <v>33</v>
      </c>
      <c r="J6" s="128" t="s">
        <v>32</v>
      </c>
      <c r="K6" s="128" t="s">
        <v>390</v>
      </c>
      <c r="L6" s="117">
        <v>45090</v>
      </c>
      <c r="M6" s="117">
        <v>45093</v>
      </c>
      <c r="N6" s="118">
        <f>3267.13/2</f>
        <v>1633.5650000000001</v>
      </c>
      <c r="O6" s="118">
        <f>3267.13/2</f>
        <v>1633.5650000000001</v>
      </c>
      <c r="P6" s="118">
        <f t="shared" si="0"/>
        <v>3267.13</v>
      </c>
      <c r="Q6" s="79">
        <v>4</v>
      </c>
      <c r="R6" s="118">
        <v>120</v>
      </c>
      <c r="S6" s="79">
        <v>0</v>
      </c>
      <c r="T6" s="118">
        <v>0</v>
      </c>
      <c r="U6" s="70">
        <f t="shared" si="1"/>
        <v>480</v>
      </c>
      <c r="V6" s="70">
        <f t="shared" si="2"/>
        <v>3747.13</v>
      </c>
      <c r="W6" s="70">
        <f t="shared" si="3"/>
        <v>3747.13</v>
      </c>
      <c r="X6" s="79"/>
    </row>
    <row r="7" spans="1:24" s="119" customFormat="1" ht="14.5" x14ac:dyDescent="0.3">
      <c r="A7" s="126" t="s">
        <v>372</v>
      </c>
      <c r="B7" s="126" t="s">
        <v>372</v>
      </c>
      <c r="C7" s="128" t="s">
        <v>134</v>
      </c>
      <c r="D7" s="47">
        <v>202</v>
      </c>
      <c r="E7" s="128" t="s">
        <v>704</v>
      </c>
      <c r="F7" s="126" t="s">
        <v>711</v>
      </c>
      <c r="G7" s="76" t="s">
        <v>31</v>
      </c>
      <c r="H7" s="76" t="s">
        <v>32</v>
      </c>
      <c r="I7" s="76" t="s">
        <v>33</v>
      </c>
      <c r="J7" s="128" t="s">
        <v>61</v>
      </c>
      <c r="K7" s="128" t="s">
        <v>62</v>
      </c>
      <c r="L7" s="117">
        <v>45088</v>
      </c>
      <c r="M7" s="117">
        <v>45090</v>
      </c>
      <c r="N7" s="118">
        <f>1290.96/2</f>
        <v>645.48</v>
      </c>
      <c r="O7" s="118">
        <f>1290.96/2</f>
        <v>645.48</v>
      </c>
      <c r="P7" s="118">
        <f t="shared" si="0"/>
        <v>1290.96</v>
      </c>
      <c r="Q7" s="79">
        <v>3</v>
      </c>
      <c r="R7" s="118">
        <v>120</v>
      </c>
      <c r="S7" s="79">
        <v>0</v>
      </c>
      <c r="T7" s="118">
        <v>0</v>
      </c>
      <c r="U7" s="70">
        <f t="shared" si="1"/>
        <v>360</v>
      </c>
      <c r="V7" s="70">
        <f t="shared" si="2"/>
        <v>1650.96</v>
      </c>
      <c r="W7" s="70">
        <f t="shared" si="3"/>
        <v>1650.96</v>
      </c>
      <c r="X7" s="79"/>
    </row>
    <row r="8" spans="1:24" s="119" customFormat="1" ht="14.5" x14ac:dyDescent="0.3">
      <c r="A8" s="126" t="s">
        <v>372</v>
      </c>
      <c r="B8" s="126" t="s">
        <v>238</v>
      </c>
      <c r="C8" s="128" t="s">
        <v>135</v>
      </c>
      <c r="D8" s="47">
        <v>230</v>
      </c>
      <c r="E8" s="131" t="s">
        <v>710</v>
      </c>
      <c r="F8" s="126" t="s">
        <v>711</v>
      </c>
      <c r="G8" s="76" t="s">
        <v>31</v>
      </c>
      <c r="H8" s="76" t="s">
        <v>32</v>
      </c>
      <c r="I8" s="76" t="s">
        <v>33</v>
      </c>
      <c r="J8" s="128" t="s">
        <v>61</v>
      </c>
      <c r="K8" s="128" t="s">
        <v>62</v>
      </c>
      <c r="L8" s="117">
        <v>45088</v>
      </c>
      <c r="M8" s="117">
        <v>45090</v>
      </c>
      <c r="N8" s="118">
        <f>1290.96/2</f>
        <v>645.48</v>
      </c>
      <c r="O8" s="118">
        <f>1290.96/2</f>
        <v>645.48</v>
      </c>
      <c r="P8" s="118">
        <f t="shared" si="0"/>
        <v>1290.96</v>
      </c>
      <c r="Q8" s="79">
        <v>3</v>
      </c>
      <c r="R8" s="118">
        <v>120</v>
      </c>
      <c r="S8" s="79">
        <v>0</v>
      </c>
      <c r="T8" s="118">
        <v>0</v>
      </c>
      <c r="U8" s="70">
        <f t="shared" si="1"/>
        <v>360</v>
      </c>
      <c r="V8" s="70">
        <f t="shared" si="2"/>
        <v>1650.96</v>
      </c>
      <c r="W8" s="70">
        <f t="shared" si="3"/>
        <v>1650.96</v>
      </c>
      <c r="X8" s="79"/>
    </row>
    <row r="9" spans="1:24" s="119" customFormat="1" ht="14.5" x14ac:dyDescent="0.3">
      <c r="A9" s="126" t="s">
        <v>229</v>
      </c>
      <c r="B9" s="126" t="s">
        <v>229</v>
      </c>
      <c r="C9" s="128" t="s">
        <v>698</v>
      </c>
      <c r="D9" s="47">
        <v>0</v>
      </c>
      <c r="E9" s="110" t="s">
        <v>561</v>
      </c>
      <c r="F9" s="126" t="s">
        <v>716</v>
      </c>
      <c r="G9" s="76" t="s">
        <v>31</v>
      </c>
      <c r="H9" s="76" t="s">
        <v>32</v>
      </c>
      <c r="I9" s="76" t="s">
        <v>33</v>
      </c>
      <c r="J9" s="128" t="s">
        <v>61</v>
      </c>
      <c r="K9" s="128" t="s">
        <v>62</v>
      </c>
      <c r="L9" s="117">
        <v>45091</v>
      </c>
      <c r="M9" s="117">
        <v>45092</v>
      </c>
      <c r="N9" s="118">
        <f>6397.34/2</f>
        <v>3198.67</v>
      </c>
      <c r="O9" s="118">
        <f>6397.34/2</f>
        <v>3198.67</v>
      </c>
      <c r="P9" s="118">
        <f t="shared" si="0"/>
        <v>6397.34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6397.34</v>
      </c>
      <c r="W9" s="70">
        <f t="shared" si="3"/>
        <v>6397.34</v>
      </c>
      <c r="X9" s="79"/>
    </row>
    <row r="10" spans="1:24" s="119" customFormat="1" ht="14.5" x14ac:dyDescent="0.3">
      <c r="A10" s="126" t="s">
        <v>229</v>
      </c>
      <c r="B10" s="131" t="s">
        <v>707</v>
      </c>
      <c r="C10" s="128" t="s">
        <v>706</v>
      </c>
      <c r="D10" s="47">
        <v>0</v>
      </c>
      <c r="E10" s="125" t="s">
        <v>709</v>
      </c>
      <c r="F10" s="126" t="s">
        <v>715</v>
      </c>
      <c r="G10" s="76" t="s">
        <v>31</v>
      </c>
      <c r="H10" s="76" t="s">
        <v>38</v>
      </c>
      <c r="I10" s="76" t="s">
        <v>39</v>
      </c>
      <c r="J10" s="128" t="s">
        <v>32</v>
      </c>
      <c r="K10" s="128" t="s">
        <v>33</v>
      </c>
      <c r="L10" s="117">
        <v>45103</v>
      </c>
      <c r="M10" s="117">
        <v>45103</v>
      </c>
      <c r="N10" s="118">
        <v>2364.62</v>
      </c>
      <c r="O10" s="118">
        <v>8486.1200000000008</v>
      </c>
      <c r="P10" s="118">
        <f t="shared" si="0"/>
        <v>10850.740000000002</v>
      </c>
      <c r="Q10" s="79">
        <v>0</v>
      </c>
      <c r="R10" s="118">
        <v>0</v>
      </c>
      <c r="S10" s="79">
        <v>0</v>
      </c>
      <c r="T10" s="118">
        <v>0</v>
      </c>
      <c r="U10" s="70">
        <f t="shared" ref="U10:U15" si="4">Q10*R10+S10*T10</f>
        <v>0</v>
      </c>
      <c r="V10" s="70">
        <f t="shared" ref="V10:V15" si="5">P10+U10</f>
        <v>10850.740000000002</v>
      </c>
      <c r="W10" s="70">
        <f t="shared" ref="W10:W15" si="6">V10</f>
        <v>10850.740000000002</v>
      </c>
      <c r="X10" s="79"/>
    </row>
    <row r="11" spans="1:24" s="119" customFormat="1" ht="14.5" x14ac:dyDescent="0.3">
      <c r="A11" s="126" t="s">
        <v>229</v>
      </c>
      <c r="B11" s="126" t="s">
        <v>707</v>
      </c>
      <c r="C11" s="128" t="s">
        <v>708</v>
      </c>
      <c r="D11" s="47">
        <v>0</v>
      </c>
      <c r="E11" s="125" t="s">
        <v>709</v>
      </c>
      <c r="F11" s="126" t="s">
        <v>715</v>
      </c>
      <c r="G11" s="76" t="s">
        <v>31</v>
      </c>
      <c r="H11" s="76" t="s">
        <v>38</v>
      </c>
      <c r="I11" s="76" t="s">
        <v>39</v>
      </c>
      <c r="J11" s="128" t="s">
        <v>32</v>
      </c>
      <c r="K11" s="128" t="s">
        <v>33</v>
      </c>
      <c r="L11" s="117">
        <v>45103</v>
      </c>
      <c r="M11" s="117">
        <v>45103</v>
      </c>
      <c r="N11" s="118">
        <v>2364.62</v>
      </c>
      <c r="O11" s="118">
        <v>8486.1200000000008</v>
      </c>
      <c r="P11" s="118">
        <f t="shared" si="0"/>
        <v>10850.740000000002</v>
      </c>
      <c r="Q11" s="79">
        <v>0</v>
      </c>
      <c r="R11" s="118">
        <v>0</v>
      </c>
      <c r="S11" s="79">
        <v>0</v>
      </c>
      <c r="T11" s="118">
        <v>0</v>
      </c>
      <c r="U11" s="70">
        <f t="shared" si="4"/>
        <v>0</v>
      </c>
      <c r="V11" s="70">
        <f t="shared" si="5"/>
        <v>10850.740000000002</v>
      </c>
      <c r="W11" s="70">
        <f t="shared" si="6"/>
        <v>10850.740000000002</v>
      </c>
      <c r="X11" s="79"/>
    </row>
    <row r="12" spans="1:24" s="119" customFormat="1" ht="14.5" x14ac:dyDescent="0.3">
      <c r="A12" s="126" t="s">
        <v>229</v>
      </c>
      <c r="B12" s="126" t="s">
        <v>229</v>
      </c>
      <c r="C12" s="128" t="s">
        <v>698</v>
      </c>
      <c r="D12" s="47">
        <v>0</v>
      </c>
      <c r="E12" s="110" t="s">
        <v>561</v>
      </c>
      <c r="F12" s="126" t="s">
        <v>719</v>
      </c>
      <c r="G12" s="76" t="s">
        <v>31</v>
      </c>
      <c r="H12" s="76" t="s">
        <v>32</v>
      </c>
      <c r="I12" s="76" t="s">
        <v>33</v>
      </c>
      <c r="J12" s="128" t="s">
        <v>61</v>
      </c>
      <c r="K12" s="128" t="s">
        <v>62</v>
      </c>
      <c r="L12" s="117">
        <v>45105</v>
      </c>
      <c r="M12" s="117">
        <v>45107</v>
      </c>
      <c r="N12" s="118">
        <f>857.63/2</f>
        <v>428.815</v>
      </c>
      <c r="O12" s="118">
        <f>857.63/2</f>
        <v>428.815</v>
      </c>
      <c r="P12" s="118">
        <f t="shared" si="0"/>
        <v>857.63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4"/>
        <v>0</v>
      </c>
      <c r="V12" s="70">
        <f t="shared" si="5"/>
        <v>857.63</v>
      </c>
      <c r="W12" s="70">
        <f t="shared" si="6"/>
        <v>857.63</v>
      </c>
      <c r="X12" s="79"/>
    </row>
    <row r="13" spans="1:24" s="119" customFormat="1" ht="14.5" x14ac:dyDescent="0.3">
      <c r="A13" s="126" t="s">
        <v>229</v>
      </c>
      <c r="B13" s="126" t="s">
        <v>461</v>
      </c>
      <c r="C13" s="128" t="s">
        <v>396</v>
      </c>
      <c r="D13" s="47">
        <v>349</v>
      </c>
      <c r="E13" s="131" t="s">
        <v>406</v>
      </c>
      <c r="F13" s="126" t="s">
        <v>712</v>
      </c>
      <c r="G13" s="76" t="s">
        <v>31</v>
      </c>
      <c r="H13" s="76" t="s">
        <v>32</v>
      </c>
      <c r="I13" s="76" t="s">
        <v>33</v>
      </c>
      <c r="J13" s="128" t="s">
        <v>462</v>
      </c>
      <c r="K13" s="128" t="s">
        <v>424</v>
      </c>
      <c r="L13" s="117">
        <v>45076</v>
      </c>
      <c r="M13" s="117">
        <v>45079</v>
      </c>
      <c r="N13" s="118">
        <f>2382.9/2</f>
        <v>1191.45</v>
      </c>
      <c r="O13" s="118">
        <f>2382.9/2</f>
        <v>1191.45</v>
      </c>
      <c r="P13" s="118">
        <f t="shared" si="0"/>
        <v>2382.9</v>
      </c>
      <c r="Q13" s="79">
        <v>4</v>
      </c>
      <c r="R13" s="118">
        <v>120</v>
      </c>
      <c r="S13" s="79">
        <v>0</v>
      </c>
      <c r="T13" s="118">
        <v>0</v>
      </c>
      <c r="U13" s="70">
        <f t="shared" si="4"/>
        <v>480</v>
      </c>
      <c r="V13" s="70">
        <f t="shared" si="5"/>
        <v>2862.9</v>
      </c>
      <c r="W13" s="70">
        <f t="shared" si="6"/>
        <v>2862.9</v>
      </c>
      <c r="X13" s="79"/>
    </row>
    <row r="14" spans="1:24" s="119" customFormat="1" ht="43.5" x14ac:dyDescent="0.3">
      <c r="A14" s="126" t="s">
        <v>250</v>
      </c>
      <c r="B14" s="126" t="s">
        <v>258</v>
      </c>
      <c r="C14" s="128" t="s">
        <v>609</v>
      </c>
      <c r="D14" s="47">
        <v>372</v>
      </c>
      <c r="E14" s="132" t="s">
        <v>208</v>
      </c>
      <c r="F14" s="126" t="s">
        <v>718</v>
      </c>
      <c r="G14" s="76" t="s">
        <v>31</v>
      </c>
      <c r="H14" s="76" t="s">
        <v>32</v>
      </c>
      <c r="I14" s="76" t="s">
        <v>33</v>
      </c>
      <c r="J14" s="128" t="s">
        <v>32</v>
      </c>
      <c r="K14" s="128" t="s">
        <v>390</v>
      </c>
      <c r="L14" s="117">
        <v>45076</v>
      </c>
      <c r="M14" s="117">
        <v>45078</v>
      </c>
      <c r="N14" s="118">
        <f>5019.13/2</f>
        <v>2509.5650000000001</v>
      </c>
      <c r="O14" s="118">
        <f>5019.13/2</f>
        <v>2509.5650000000001</v>
      </c>
      <c r="P14" s="118">
        <f t="shared" si="0"/>
        <v>5019.13</v>
      </c>
      <c r="Q14" s="79">
        <v>3</v>
      </c>
      <c r="R14" s="118">
        <v>120</v>
      </c>
      <c r="S14" s="79">
        <v>0</v>
      </c>
      <c r="T14" s="118">
        <v>0</v>
      </c>
      <c r="U14" s="70">
        <f t="shared" si="4"/>
        <v>360</v>
      </c>
      <c r="V14" s="70">
        <f t="shared" si="5"/>
        <v>5379.13</v>
      </c>
      <c r="W14" s="70">
        <f t="shared" si="6"/>
        <v>5379.13</v>
      </c>
      <c r="X14" s="79"/>
    </row>
    <row r="15" spans="1:24" s="119" customFormat="1" ht="14.5" x14ac:dyDescent="0.3">
      <c r="A15" s="126" t="s">
        <v>229</v>
      </c>
      <c r="B15" s="126" t="s">
        <v>229</v>
      </c>
      <c r="C15" s="128" t="s">
        <v>698</v>
      </c>
      <c r="D15" s="47">
        <v>0</v>
      </c>
      <c r="E15" s="110" t="s">
        <v>561</v>
      </c>
      <c r="F15" s="126" t="s">
        <v>717</v>
      </c>
      <c r="G15" s="76" t="s">
        <v>31</v>
      </c>
      <c r="H15" s="76" t="s">
        <v>32</v>
      </c>
      <c r="I15" s="76" t="s">
        <v>33</v>
      </c>
      <c r="J15" s="128" t="s">
        <v>61</v>
      </c>
      <c r="K15" s="128" t="s">
        <v>62</v>
      </c>
      <c r="L15" s="117">
        <v>45077</v>
      </c>
      <c r="M15" s="117">
        <v>45078</v>
      </c>
      <c r="N15" s="118">
        <f>(5331.47+0.47)/2</f>
        <v>2665.9700000000003</v>
      </c>
      <c r="O15" s="118">
        <f>(5331.47+0.47)/2</f>
        <v>2665.9700000000003</v>
      </c>
      <c r="P15" s="118">
        <f t="shared" si="0"/>
        <v>5331.9400000000005</v>
      </c>
      <c r="Q15" s="79">
        <v>0</v>
      </c>
      <c r="R15" s="118">
        <v>0</v>
      </c>
      <c r="S15" s="79">
        <v>0</v>
      </c>
      <c r="T15" s="118">
        <v>0</v>
      </c>
      <c r="U15" s="70">
        <f t="shared" si="4"/>
        <v>0</v>
      </c>
      <c r="V15" s="70">
        <f t="shared" si="5"/>
        <v>5331.9400000000005</v>
      </c>
      <c r="W15" s="70">
        <f t="shared" si="6"/>
        <v>5331.9400000000005</v>
      </c>
      <c r="X15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X15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37.83203125" bestFit="1" customWidth="1"/>
    <col min="4" max="4" width="15" bestFit="1" customWidth="1"/>
    <col min="5" max="5" width="40.83203125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92"/>
      <c r="B4" s="392"/>
      <c r="C4" s="392"/>
      <c r="D4" s="392"/>
      <c r="E4" s="392"/>
      <c r="F4" s="392"/>
      <c r="G4" s="392"/>
      <c r="H4" s="10" t="s">
        <v>27</v>
      </c>
      <c r="I4" s="10" t="s">
        <v>28</v>
      </c>
      <c r="J4" s="10" t="s">
        <v>27</v>
      </c>
      <c r="K4" s="11" t="s">
        <v>29</v>
      </c>
      <c r="L4" s="392"/>
      <c r="M4" s="392"/>
      <c r="N4" s="393"/>
      <c r="O4" s="393"/>
      <c r="P4" s="393"/>
      <c r="Q4" s="10" t="s">
        <v>2</v>
      </c>
      <c r="R4" s="11" t="s">
        <v>30</v>
      </c>
      <c r="S4" s="10" t="s">
        <v>2</v>
      </c>
      <c r="T4" s="11" t="s">
        <v>30</v>
      </c>
      <c r="U4" s="392"/>
      <c r="V4" s="393"/>
      <c r="W4" s="394"/>
      <c r="X4" s="391"/>
    </row>
    <row r="5" spans="1:24" s="119" customFormat="1" ht="14.5" x14ac:dyDescent="0.3">
      <c r="A5" s="430" t="s">
        <v>372</v>
      </c>
      <c r="B5" s="430" t="s">
        <v>372</v>
      </c>
      <c r="C5" s="432" t="s">
        <v>75</v>
      </c>
      <c r="D5" s="432">
        <v>0</v>
      </c>
      <c r="E5" s="433" t="s">
        <v>88</v>
      </c>
      <c r="F5" s="430" t="s">
        <v>722</v>
      </c>
      <c r="G5" s="432" t="s">
        <v>31</v>
      </c>
      <c r="H5" s="76" t="s">
        <v>111</v>
      </c>
      <c r="I5" s="76" t="s">
        <v>112</v>
      </c>
      <c r="J5" s="128" t="s">
        <v>38</v>
      </c>
      <c r="K5" s="128" t="s">
        <v>39</v>
      </c>
      <c r="L5" s="410">
        <v>45110</v>
      </c>
      <c r="M5" s="410">
        <v>45111</v>
      </c>
      <c r="N5" s="404">
        <f>3242.09/2</f>
        <v>1621.0450000000001</v>
      </c>
      <c r="O5" s="404">
        <f>3242.09/2</f>
        <v>1621.0450000000001</v>
      </c>
      <c r="P5" s="404">
        <f t="shared" ref="P5:P13" si="0">SUM(N5:O5)</f>
        <v>3242.09</v>
      </c>
      <c r="Q5" s="432">
        <v>0</v>
      </c>
      <c r="R5" s="432">
        <v>0</v>
      </c>
      <c r="S5" s="432">
        <v>0</v>
      </c>
      <c r="T5" s="432">
        <v>0</v>
      </c>
      <c r="U5" s="432">
        <f t="shared" ref="U5:U15" si="1">Q5*R5+S5*T5</f>
        <v>0</v>
      </c>
      <c r="V5" s="395">
        <f t="shared" ref="V5:V13" si="2">P5+U5</f>
        <v>3242.09</v>
      </c>
      <c r="W5" s="395">
        <f t="shared" ref="W5:W13" si="3">V5</f>
        <v>3242.09</v>
      </c>
      <c r="X5" s="432"/>
    </row>
    <row r="6" spans="1:24" s="119" customFormat="1" ht="14.5" x14ac:dyDescent="0.3">
      <c r="A6" s="431"/>
      <c r="B6" s="431"/>
      <c r="C6" s="431"/>
      <c r="D6" s="431"/>
      <c r="E6" s="431"/>
      <c r="F6" s="431"/>
      <c r="G6" s="431"/>
      <c r="H6" s="128" t="s">
        <v>38</v>
      </c>
      <c r="I6" s="128" t="s">
        <v>39</v>
      </c>
      <c r="J6" s="133" t="s">
        <v>32</v>
      </c>
      <c r="K6" s="133" t="s">
        <v>33</v>
      </c>
      <c r="L6" s="411"/>
      <c r="M6" s="411"/>
      <c r="N6" s="405"/>
      <c r="O6" s="405"/>
      <c r="P6" s="405"/>
      <c r="Q6" s="431"/>
      <c r="R6" s="431"/>
      <c r="S6" s="431"/>
      <c r="T6" s="431"/>
      <c r="U6" s="431"/>
      <c r="V6" s="396"/>
      <c r="W6" s="396"/>
      <c r="X6" s="431"/>
    </row>
    <row r="7" spans="1:24" s="119" customFormat="1" ht="14.5" x14ac:dyDescent="0.3">
      <c r="A7" s="126" t="s">
        <v>372</v>
      </c>
      <c r="B7" s="126" t="s">
        <v>372</v>
      </c>
      <c r="C7" s="128" t="s">
        <v>134</v>
      </c>
      <c r="D7" s="47">
        <v>202</v>
      </c>
      <c r="E7" s="128" t="s">
        <v>704</v>
      </c>
      <c r="F7" s="126" t="s">
        <v>722</v>
      </c>
      <c r="G7" s="76" t="s">
        <v>31</v>
      </c>
      <c r="H7" s="76" t="s">
        <v>32</v>
      </c>
      <c r="I7" s="76" t="s">
        <v>33</v>
      </c>
      <c r="J7" s="128" t="s">
        <v>38</v>
      </c>
      <c r="K7" s="128" t="s">
        <v>39</v>
      </c>
      <c r="L7" s="117">
        <v>45110</v>
      </c>
      <c r="M7" s="117">
        <v>45111</v>
      </c>
      <c r="N7" s="130">
        <f>5098.83/2</f>
        <v>2549.415</v>
      </c>
      <c r="O7" s="130">
        <f>5098.83/2</f>
        <v>2549.415</v>
      </c>
      <c r="P7" s="130">
        <f t="shared" si="0"/>
        <v>5098.83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5338.83</v>
      </c>
      <c r="W7" s="70">
        <f t="shared" si="3"/>
        <v>5338.83</v>
      </c>
      <c r="X7" s="79"/>
    </row>
    <row r="8" spans="1:24" s="119" customFormat="1" ht="14.5" x14ac:dyDescent="0.3">
      <c r="A8" s="126" t="s">
        <v>372</v>
      </c>
      <c r="B8" s="126" t="s">
        <v>238</v>
      </c>
      <c r="C8" s="128" t="s">
        <v>135</v>
      </c>
      <c r="D8" s="47">
        <v>230</v>
      </c>
      <c r="E8" s="131" t="s">
        <v>710</v>
      </c>
      <c r="F8" s="126" t="s">
        <v>722</v>
      </c>
      <c r="G8" s="76" t="s">
        <v>31</v>
      </c>
      <c r="H8" s="76" t="s">
        <v>32</v>
      </c>
      <c r="I8" s="76" t="s">
        <v>33</v>
      </c>
      <c r="J8" s="128" t="s">
        <v>38</v>
      </c>
      <c r="K8" s="128" t="s">
        <v>39</v>
      </c>
      <c r="L8" s="117">
        <v>45110</v>
      </c>
      <c r="M8" s="117">
        <v>45111</v>
      </c>
      <c r="N8" s="130">
        <f>5098.83/2</f>
        <v>2549.415</v>
      </c>
      <c r="O8" s="130">
        <f>5098.83/2</f>
        <v>2549.415</v>
      </c>
      <c r="P8" s="130">
        <f t="shared" si="0"/>
        <v>5098.83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5338.83</v>
      </c>
      <c r="W8" s="70">
        <f t="shared" si="3"/>
        <v>5338.83</v>
      </c>
      <c r="X8" s="79"/>
    </row>
    <row r="9" spans="1:24" s="119" customFormat="1" ht="14.5" x14ac:dyDescent="0.3">
      <c r="A9" s="126" t="s">
        <v>250</v>
      </c>
      <c r="B9" s="126" t="s">
        <v>212</v>
      </c>
      <c r="C9" s="128" t="s">
        <v>612</v>
      </c>
      <c r="D9" s="47">
        <v>365</v>
      </c>
      <c r="E9" s="124" t="s">
        <v>52</v>
      </c>
      <c r="F9" s="133" t="s">
        <v>723</v>
      </c>
      <c r="G9" s="76" t="s">
        <v>31</v>
      </c>
      <c r="H9" s="76" t="s">
        <v>32</v>
      </c>
      <c r="I9" s="76" t="s">
        <v>33</v>
      </c>
      <c r="J9" s="133" t="s">
        <v>32</v>
      </c>
      <c r="K9" s="133" t="s">
        <v>390</v>
      </c>
      <c r="L9" s="117">
        <v>45134</v>
      </c>
      <c r="M9" s="117">
        <v>45134</v>
      </c>
      <c r="N9" s="130">
        <f>1555.13/2</f>
        <v>777.56500000000005</v>
      </c>
      <c r="O9" s="130">
        <f>1555.13/2</f>
        <v>777.56500000000005</v>
      </c>
      <c r="P9" s="130">
        <f t="shared" si="0"/>
        <v>1555.13</v>
      </c>
      <c r="Q9" s="79">
        <v>1</v>
      </c>
      <c r="R9" s="118">
        <v>120</v>
      </c>
      <c r="S9" s="79">
        <v>0</v>
      </c>
      <c r="T9" s="118">
        <v>0</v>
      </c>
      <c r="U9" s="70">
        <f t="shared" si="1"/>
        <v>120</v>
      </c>
      <c r="V9" s="70">
        <f t="shared" si="2"/>
        <v>1675.13</v>
      </c>
      <c r="W9" s="70">
        <f t="shared" si="3"/>
        <v>1675.13</v>
      </c>
      <c r="X9" s="79"/>
    </row>
    <row r="10" spans="1:24" s="119" customFormat="1" ht="14.5" x14ac:dyDescent="0.3">
      <c r="A10" s="126" t="s">
        <v>250</v>
      </c>
      <c r="B10" s="126" t="s">
        <v>212</v>
      </c>
      <c r="C10" s="128" t="s">
        <v>270</v>
      </c>
      <c r="D10" s="47" t="s">
        <v>173</v>
      </c>
      <c r="E10" s="111" t="s">
        <v>599</v>
      </c>
      <c r="F10" s="133" t="s">
        <v>723</v>
      </c>
      <c r="G10" s="76" t="s">
        <v>31</v>
      </c>
      <c r="H10" s="76" t="s">
        <v>32</v>
      </c>
      <c r="I10" s="76" t="s">
        <v>33</v>
      </c>
      <c r="J10" s="133" t="s">
        <v>32</v>
      </c>
      <c r="K10" s="133" t="s">
        <v>390</v>
      </c>
      <c r="L10" s="117">
        <v>45134</v>
      </c>
      <c r="M10" s="117">
        <v>45134</v>
      </c>
      <c r="N10" s="130">
        <f>3264.36/2</f>
        <v>1632.18</v>
      </c>
      <c r="O10" s="130">
        <f>3264.36/2</f>
        <v>1632.18</v>
      </c>
      <c r="P10" s="130">
        <f t="shared" si="0"/>
        <v>3264.36</v>
      </c>
      <c r="Q10" s="79">
        <v>1</v>
      </c>
      <c r="R10" s="118">
        <v>120</v>
      </c>
      <c r="S10" s="79">
        <v>0</v>
      </c>
      <c r="T10" s="118">
        <v>0</v>
      </c>
      <c r="U10" s="70">
        <f t="shared" si="1"/>
        <v>120</v>
      </c>
      <c r="V10" s="70">
        <f t="shared" si="2"/>
        <v>3384.36</v>
      </c>
      <c r="W10" s="70">
        <f t="shared" si="3"/>
        <v>3384.36</v>
      </c>
      <c r="X10" s="79"/>
    </row>
    <row r="11" spans="1:24" s="119" customFormat="1" ht="14.5" x14ac:dyDescent="0.3">
      <c r="A11" s="133" t="s">
        <v>229</v>
      </c>
      <c r="B11" s="126" t="s">
        <v>229</v>
      </c>
      <c r="C11" s="128" t="s">
        <v>698</v>
      </c>
      <c r="D11" s="47">
        <v>0</v>
      </c>
      <c r="E11" s="133" t="s">
        <v>561</v>
      </c>
      <c r="F11" s="133" t="s">
        <v>721</v>
      </c>
      <c r="G11" s="76" t="s">
        <v>31</v>
      </c>
      <c r="H11" s="76" t="s">
        <v>32</v>
      </c>
      <c r="I11" s="76" t="s">
        <v>33</v>
      </c>
      <c r="J11" s="133" t="s">
        <v>462</v>
      </c>
      <c r="K11" s="133" t="s">
        <v>424</v>
      </c>
      <c r="L11" s="117">
        <v>45118</v>
      </c>
      <c r="M11" s="117">
        <v>45120</v>
      </c>
      <c r="N11" s="130">
        <v>1136.71</v>
      </c>
      <c r="O11" s="130">
        <v>1170.3800000000001</v>
      </c>
      <c r="P11" s="130">
        <f t="shared" si="0"/>
        <v>2307.09</v>
      </c>
      <c r="Q11" s="79">
        <v>0</v>
      </c>
      <c r="R11" s="118">
        <v>0</v>
      </c>
      <c r="S11" s="79">
        <v>0</v>
      </c>
      <c r="T11" s="118">
        <v>0</v>
      </c>
      <c r="U11" s="70">
        <f t="shared" ref="U11" si="4">Q11*R11+S11*T11</f>
        <v>0</v>
      </c>
      <c r="V11" s="70">
        <f t="shared" ref="V11" si="5">P11+U11</f>
        <v>2307.09</v>
      </c>
      <c r="W11" s="70">
        <f t="shared" ref="W11" si="6">V11</f>
        <v>2307.09</v>
      </c>
      <c r="X11" s="79"/>
    </row>
    <row r="12" spans="1:24" s="119" customFormat="1" ht="29" x14ac:dyDescent="0.3">
      <c r="A12" s="133" t="s">
        <v>229</v>
      </c>
      <c r="B12" s="131" t="s">
        <v>227</v>
      </c>
      <c r="C12" s="133" t="s">
        <v>646</v>
      </c>
      <c r="D12" s="47">
        <v>343</v>
      </c>
      <c r="E12" s="133" t="s">
        <v>725</v>
      </c>
      <c r="F12" s="134" t="s">
        <v>724</v>
      </c>
      <c r="G12" s="76" t="s">
        <v>31</v>
      </c>
      <c r="H12" s="76" t="s">
        <v>32</v>
      </c>
      <c r="I12" s="76" t="s">
        <v>33</v>
      </c>
      <c r="J12" s="133" t="s">
        <v>32</v>
      </c>
      <c r="K12" s="128" t="s">
        <v>255</v>
      </c>
      <c r="L12" s="117">
        <v>45138</v>
      </c>
      <c r="M12" s="117">
        <v>45139</v>
      </c>
      <c r="N12" s="130">
        <v>0</v>
      </c>
      <c r="O12" s="130">
        <v>0</v>
      </c>
      <c r="P12" s="130">
        <f t="shared" si="0"/>
        <v>0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0</v>
      </c>
      <c r="W12" s="70">
        <f t="shared" si="3"/>
        <v>0</v>
      </c>
      <c r="X12" s="79"/>
    </row>
    <row r="13" spans="1:24" s="119" customFormat="1" ht="14.5" x14ac:dyDescent="0.3">
      <c r="A13" s="430" t="s">
        <v>229</v>
      </c>
      <c r="B13" s="430" t="s">
        <v>229</v>
      </c>
      <c r="C13" s="408" t="s">
        <v>698</v>
      </c>
      <c r="D13" s="408">
        <v>0</v>
      </c>
      <c r="E13" s="430" t="s">
        <v>561</v>
      </c>
      <c r="F13" s="430" t="s">
        <v>73</v>
      </c>
      <c r="G13" s="76" t="s">
        <v>31</v>
      </c>
      <c r="H13" s="76" t="s">
        <v>32</v>
      </c>
      <c r="I13" s="76" t="s">
        <v>33</v>
      </c>
      <c r="J13" s="133" t="s">
        <v>61</v>
      </c>
      <c r="K13" s="133" t="s">
        <v>62</v>
      </c>
      <c r="L13" s="429">
        <v>45138</v>
      </c>
      <c r="M13" s="429">
        <v>45142</v>
      </c>
      <c r="N13" s="404">
        <f>5571.04/3</f>
        <v>1857.0133333333333</v>
      </c>
      <c r="O13" s="404">
        <f>5571.04/3</f>
        <v>1857.0133333333333</v>
      </c>
      <c r="P13" s="404">
        <f t="shared" si="0"/>
        <v>3714.0266666666666</v>
      </c>
      <c r="Q13" s="408">
        <v>0</v>
      </c>
      <c r="R13" s="408">
        <v>0</v>
      </c>
      <c r="S13" s="408">
        <v>0</v>
      </c>
      <c r="T13" s="408">
        <v>0</v>
      </c>
      <c r="U13" s="408">
        <f t="shared" si="1"/>
        <v>0</v>
      </c>
      <c r="V13" s="395">
        <f t="shared" si="2"/>
        <v>3714.0266666666666</v>
      </c>
      <c r="W13" s="395">
        <f t="shared" si="3"/>
        <v>3714.0266666666666</v>
      </c>
      <c r="X13" s="408"/>
    </row>
    <row r="14" spans="1:24" s="119" customFormat="1" ht="14.5" x14ac:dyDescent="0.3">
      <c r="A14" s="416"/>
      <c r="B14" s="416"/>
      <c r="C14" s="416"/>
      <c r="D14" s="416"/>
      <c r="E14" s="416"/>
      <c r="F14" s="416"/>
      <c r="G14" s="76" t="s">
        <v>31</v>
      </c>
      <c r="H14" s="133" t="s">
        <v>61</v>
      </c>
      <c r="I14" s="133" t="s">
        <v>62</v>
      </c>
      <c r="J14" s="133" t="s">
        <v>203</v>
      </c>
      <c r="K14" s="133" t="s">
        <v>720</v>
      </c>
      <c r="L14" s="416"/>
      <c r="M14" s="416"/>
      <c r="N14" s="413"/>
      <c r="O14" s="413"/>
      <c r="P14" s="413"/>
      <c r="Q14" s="416"/>
      <c r="R14" s="416"/>
      <c r="S14" s="416">
        <v>0</v>
      </c>
      <c r="T14" s="416">
        <v>0</v>
      </c>
      <c r="U14" s="416">
        <f t="shared" si="1"/>
        <v>0</v>
      </c>
      <c r="V14" s="415"/>
      <c r="W14" s="415"/>
      <c r="X14" s="416"/>
    </row>
    <row r="15" spans="1:24" s="119" customFormat="1" ht="14.5" x14ac:dyDescent="0.3">
      <c r="A15" s="409"/>
      <c r="B15" s="409"/>
      <c r="C15" s="409"/>
      <c r="D15" s="409"/>
      <c r="E15" s="409"/>
      <c r="F15" s="409"/>
      <c r="G15" s="76" t="s">
        <v>31</v>
      </c>
      <c r="H15" s="133" t="s">
        <v>203</v>
      </c>
      <c r="I15" s="133" t="s">
        <v>720</v>
      </c>
      <c r="J15" s="76" t="s">
        <v>32</v>
      </c>
      <c r="K15" s="76" t="s">
        <v>33</v>
      </c>
      <c r="L15" s="409"/>
      <c r="M15" s="409"/>
      <c r="N15" s="405"/>
      <c r="O15" s="405"/>
      <c r="P15" s="405"/>
      <c r="Q15" s="409"/>
      <c r="R15" s="409"/>
      <c r="S15" s="409">
        <v>0</v>
      </c>
      <c r="T15" s="409">
        <v>0</v>
      </c>
      <c r="U15" s="409">
        <f t="shared" si="1"/>
        <v>0</v>
      </c>
      <c r="V15" s="396"/>
      <c r="W15" s="396"/>
      <c r="X15" s="409"/>
    </row>
  </sheetData>
  <mergeCells count="65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C5:C6"/>
    <mergeCell ref="D5:D6"/>
    <mergeCell ref="E5:E6"/>
    <mergeCell ref="F5:F6"/>
    <mergeCell ref="G5:G6"/>
    <mergeCell ref="L5:L6"/>
    <mergeCell ref="J3:K3"/>
    <mergeCell ref="L3:L4"/>
    <mergeCell ref="M3:M4"/>
    <mergeCell ref="N3:N4"/>
    <mergeCell ref="O3:O4"/>
    <mergeCell ref="P3:P4"/>
    <mergeCell ref="T5:T6"/>
    <mergeCell ref="U5:U6"/>
    <mergeCell ref="V5:V6"/>
    <mergeCell ref="W5:W6"/>
    <mergeCell ref="X5:X6"/>
    <mergeCell ref="A5:A6"/>
    <mergeCell ref="B5:B6"/>
    <mergeCell ref="A13:A15"/>
    <mergeCell ref="B13:B15"/>
    <mergeCell ref="S5:S6"/>
    <mergeCell ref="M5:M6"/>
    <mergeCell ref="N5:N6"/>
    <mergeCell ref="O5:O6"/>
    <mergeCell ref="P5:P6"/>
    <mergeCell ref="Q5:Q6"/>
    <mergeCell ref="R5:R6"/>
    <mergeCell ref="S13:S15"/>
    <mergeCell ref="C13:C15"/>
    <mergeCell ref="D13:D15"/>
    <mergeCell ref="E13:E15"/>
    <mergeCell ref="F13:F15"/>
    <mergeCell ref="L13:L15"/>
    <mergeCell ref="M13:M15"/>
    <mergeCell ref="N13:N15"/>
    <mergeCell ref="O13:O15"/>
    <mergeCell ref="P13:P15"/>
    <mergeCell ref="W13:W15"/>
    <mergeCell ref="X13:X15"/>
    <mergeCell ref="Q13:Q15"/>
    <mergeCell ref="R13:R15"/>
    <mergeCell ref="T13:T15"/>
    <mergeCell ref="U13:U15"/>
    <mergeCell ref="V13:V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9"/>
  <sheetViews>
    <sheetView workbookViewId="0">
      <selection activeCell="D11" sqref="D11:E11"/>
    </sheetView>
  </sheetViews>
  <sheetFormatPr defaultRowHeight="15" customHeight="1" x14ac:dyDescent="0.3"/>
  <cols>
    <col min="1" max="1" width="8.58203125" customWidth="1"/>
    <col min="2" max="2" width="15.3320312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6" t="s">
        <v>0</v>
      </c>
      <c r="W5" s="336"/>
      <c r="X5" s="8">
        <v>43101</v>
      </c>
    </row>
    <row r="6" spans="1:24" ht="14" x14ac:dyDescent="0.3">
      <c r="A6" s="337" t="s">
        <v>4</v>
      </c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</row>
    <row r="7" spans="1:24" ht="14" x14ac:dyDescent="0.3">
      <c r="A7" s="337" t="s">
        <v>5</v>
      </c>
      <c r="B7" s="337"/>
      <c r="C7" s="337" t="s">
        <v>6</v>
      </c>
      <c r="D7" s="337"/>
      <c r="E7" s="337"/>
      <c r="F7" s="337" t="s">
        <v>3</v>
      </c>
      <c r="G7" s="337"/>
      <c r="H7" s="337"/>
      <c r="I7" s="337"/>
      <c r="J7" s="337"/>
      <c r="K7" s="337"/>
      <c r="L7" s="337"/>
      <c r="M7" s="337"/>
      <c r="N7" s="337" t="s">
        <v>7</v>
      </c>
      <c r="O7" s="337"/>
      <c r="P7" s="337"/>
      <c r="Q7" s="337" t="s">
        <v>1</v>
      </c>
      <c r="R7" s="337"/>
      <c r="S7" s="337"/>
      <c r="T7" s="337"/>
      <c r="U7" s="337"/>
      <c r="V7" s="337"/>
      <c r="W7" s="337" t="s">
        <v>8</v>
      </c>
      <c r="X7" s="337" t="s">
        <v>9</v>
      </c>
    </row>
    <row r="8" spans="1:24" s="9" customFormat="1" ht="14" x14ac:dyDescent="0.3">
      <c r="A8" s="338" t="s">
        <v>10</v>
      </c>
      <c r="B8" s="338" t="s">
        <v>11</v>
      </c>
      <c r="C8" s="338" t="s">
        <v>12</v>
      </c>
      <c r="D8" s="338" t="s">
        <v>13</v>
      </c>
      <c r="E8" s="338" t="s">
        <v>14</v>
      </c>
      <c r="F8" s="338" t="s">
        <v>15</v>
      </c>
      <c r="G8" s="338" t="s">
        <v>16</v>
      </c>
      <c r="H8" s="338" t="s">
        <v>17</v>
      </c>
      <c r="I8" s="338"/>
      <c r="J8" s="339" t="s">
        <v>18</v>
      </c>
      <c r="K8" s="339"/>
      <c r="L8" s="338" t="s">
        <v>19</v>
      </c>
      <c r="M8" s="338" t="s">
        <v>20</v>
      </c>
      <c r="N8" s="339" t="s">
        <v>21</v>
      </c>
      <c r="O8" s="339" t="s">
        <v>22</v>
      </c>
      <c r="P8" s="339" t="s">
        <v>23</v>
      </c>
      <c r="Q8" s="339" t="s">
        <v>24</v>
      </c>
      <c r="R8" s="339"/>
      <c r="S8" s="339" t="s">
        <v>25</v>
      </c>
      <c r="T8" s="339"/>
      <c r="U8" s="338" t="s">
        <v>26</v>
      </c>
      <c r="V8" s="339" t="s">
        <v>23</v>
      </c>
      <c r="W8" s="337"/>
      <c r="X8" s="337"/>
    </row>
    <row r="9" spans="1:24" s="9" customFormat="1" ht="14" x14ac:dyDescent="0.3">
      <c r="A9" s="338"/>
      <c r="B9" s="338"/>
      <c r="C9" s="338"/>
      <c r="D9" s="338"/>
      <c r="E9" s="338"/>
      <c r="F9" s="338"/>
      <c r="G9" s="338"/>
      <c r="H9" s="10" t="s">
        <v>27</v>
      </c>
      <c r="I9" s="10" t="s">
        <v>28</v>
      </c>
      <c r="J9" s="10" t="s">
        <v>27</v>
      </c>
      <c r="K9" s="11" t="s">
        <v>29</v>
      </c>
      <c r="L9" s="338"/>
      <c r="M9" s="338"/>
      <c r="N9" s="339"/>
      <c r="O9" s="339"/>
      <c r="P9" s="339"/>
      <c r="Q9" s="10" t="s">
        <v>2</v>
      </c>
      <c r="R9" s="11" t="s">
        <v>30</v>
      </c>
      <c r="S9" s="10" t="s">
        <v>2</v>
      </c>
      <c r="T9" s="11" t="s">
        <v>30</v>
      </c>
      <c r="U9" s="338"/>
      <c r="V9" s="339"/>
      <c r="W9" s="337"/>
      <c r="X9" s="337"/>
    </row>
    <row r="10" spans="1:24" ht="25" x14ac:dyDescent="0.3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7.5" x14ac:dyDescent="0.3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" x14ac:dyDescent="0.3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" x14ac:dyDescent="0.3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" x14ac:dyDescent="0.3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" x14ac:dyDescent="0.3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" x14ac:dyDescent="0.3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" x14ac:dyDescent="0.3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" x14ac:dyDescent="0.3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" x14ac:dyDescent="0.3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" x14ac:dyDescent="0.3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" x14ac:dyDescent="0.3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" x14ac:dyDescent="0.3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" x14ac:dyDescent="0.3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" x14ac:dyDescent="0.3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" x14ac:dyDescent="0.3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" x14ac:dyDescent="0.3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" x14ac:dyDescent="0.3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" x14ac:dyDescent="0.3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" x14ac:dyDescent="0.3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X18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0.83203125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92"/>
      <c r="B4" s="392"/>
      <c r="C4" s="392"/>
      <c r="D4" s="392"/>
      <c r="E4" s="392"/>
      <c r="F4" s="392"/>
      <c r="G4" s="392"/>
      <c r="H4" s="10" t="s">
        <v>27</v>
      </c>
      <c r="I4" s="10" t="s">
        <v>28</v>
      </c>
      <c r="J4" s="10" t="s">
        <v>27</v>
      </c>
      <c r="K4" s="11" t="s">
        <v>29</v>
      </c>
      <c r="L4" s="392"/>
      <c r="M4" s="392"/>
      <c r="N4" s="393"/>
      <c r="O4" s="393"/>
      <c r="P4" s="393"/>
      <c r="Q4" s="10" t="s">
        <v>2</v>
      </c>
      <c r="R4" s="11" t="s">
        <v>30</v>
      </c>
      <c r="S4" s="10" t="s">
        <v>2</v>
      </c>
      <c r="T4" s="11" t="s">
        <v>30</v>
      </c>
      <c r="U4" s="392"/>
      <c r="V4" s="393"/>
      <c r="W4" s="394"/>
      <c r="X4" s="391"/>
    </row>
    <row r="5" spans="1:24" s="119" customFormat="1" ht="14.5" x14ac:dyDescent="0.3">
      <c r="A5" s="126" t="s">
        <v>372</v>
      </c>
      <c r="B5" s="126" t="s">
        <v>372</v>
      </c>
      <c r="C5" s="135" t="s">
        <v>134</v>
      </c>
      <c r="D5" s="47">
        <v>202</v>
      </c>
      <c r="E5" s="128" t="s">
        <v>704</v>
      </c>
      <c r="F5" s="126" t="s">
        <v>726</v>
      </c>
      <c r="G5" s="76" t="s">
        <v>31</v>
      </c>
      <c r="H5" s="76" t="s">
        <v>32</v>
      </c>
      <c r="I5" s="76" t="s">
        <v>33</v>
      </c>
      <c r="J5" s="128" t="s">
        <v>38</v>
      </c>
      <c r="K5" s="128" t="s">
        <v>39</v>
      </c>
      <c r="L5" s="117">
        <v>45145</v>
      </c>
      <c r="M5" s="117">
        <v>45146</v>
      </c>
      <c r="N5" s="130">
        <f>1736.83/2</f>
        <v>868.41499999999996</v>
      </c>
      <c r="O5" s="130">
        <f>1736.83/2</f>
        <v>868.41499999999996</v>
      </c>
      <c r="P5" s="130">
        <f t="shared" ref="P5:P18" si="0">SUM(N5:O5)</f>
        <v>1736.83</v>
      </c>
      <c r="Q5" s="79">
        <v>2</v>
      </c>
      <c r="R5" s="118">
        <v>120</v>
      </c>
      <c r="S5" s="79">
        <v>0</v>
      </c>
      <c r="T5" s="118">
        <v>0</v>
      </c>
      <c r="U5" s="70">
        <f t="shared" ref="U5:U16" si="1">Q5*R5+S5*T5</f>
        <v>240</v>
      </c>
      <c r="V5" s="70">
        <f t="shared" ref="V5:V16" si="2">P5+U5</f>
        <v>1976.83</v>
      </c>
      <c r="W5" s="70">
        <f t="shared" ref="W5:W16" si="3">V5</f>
        <v>1976.83</v>
      </c>
      <c r="X5" s="79"/>
    </row>
    <row r="6" spans="1:24" s="119" customFormat="1" ht="14.5" x14ac:dyDescent="0.3">
      <c r="A6" s="126" t="s">
        <v>372</v>
      </c>
      <c r="B6" s="126" t="s">
        <v>238</v>
      </c>
      <c r="C6" s="128" t="s">
        <v>447</v>
      </c>
      <c r="D6" s="47">
        <v>336</v>
      </c>
      <c r="E6" s="135" t="s">
        <v>735</v>
      </c>
      <c r="F6" s="126" t="s">
        <v>726</v>
      </c>
      <c r="G6" s="76" t="s">
        <v>31</v>
      </c>
      <c r="H6" s="76" t="s">
        <v>32</v>
      </c>
      <c r="I6" s="76" t="s">
        <v>33</v>
      </c>
      <c r="J6" s="128" t="s">
        <v>38</v>
      </c>
      <c r="K6" s="128" t="s">
        <v>39</v>
      </c>
      <c r="L6" s="117">
        <v>45145</v>
      </c>
      <c r="M6" s="117">
        <v>45146</v>
      </c>
      <c r="N6" s="130">
        <f t="shared" ref="N6:O7" si="4">1736.83/2</f>
        <v>868.41499999999996</v>
      </c>
      <c r="O6" s="130">
        <f t="shared" si="4"/>
        <v>868.41499999999996</v>
      </c>
      <c r="P6" s="130">
        <f t="shared" si="0"/>
        <v>1736.83</v>
      </c>
      <c r="Q6" s="79">
        <v>2</v>
      </c>
      <c r="R6" s="118">
        <v>120</v>
      </c>
      <c r="S6" s="79">
        <v>0</v>
      </c>
      <c r="T6" s="118">
        <v>0</v>
      </c>
      <c r="U6" s="70">
        <f t="shared" si="1"/>
        <v>240</v>
      </c>
      <c r="V6" s="70">
        <f t="shared" si="2"/>
        <v>1976.83</v>
      </c>
      <c r="W6" s="70">
        <f t="shared" si="3"/>
        <v>1976.83</v>
      </c>
      <c r="X6" s="79"/>
    </row>
    <row r="7" spans="1:24" s="119" customFormat="1" ht="14.5" x14ac:dyDescent="0.3">
      <c r="A7" s="126" t="s">
        <v>372</v>
      </c>
      <c r="B7" s="126" t="s">
        <v>238</v>
      </c>
      <c r="C7" s="128" t="s">
        <v>135</v>
      </c>
      <c r="D7" s="47">
        <v>230</v>
      </c>
      <c r="E7" s="131" t="s">
        <v>710</v>
      </c>
      <c r="F7" s="126" t="s">
        <v>726</v>
      </c>
      <c r="G7" s="76" t="s">
        <v>31</v>
      </c>
      <c r="H7" s="76" t="s">
        <v>32</v>
      </c>
      <c r="I7" s="76" t="s">
        <v>33</v>
      </c>
      <c r="J7" s="128" t="s">
        <v>38</v>
      </c>
      <c r="K7" s="128" t="s">
        <v>39</v>
      </c>
      <c r="L7" s="117">
        <v>45145</v>
      </c>
      <c r="M7" s="117">
        <v>45146</v>
      </c>
      <c r="N7" s="130">
        <f t="shared" si="4"/>
        <v>868.41499999999996</v>
      </c>
      <c r="O7" s="130">
        <f t="shared" si="4"/>
        <v>868.41499999999996</v>
      </c>
      <c r="P7" s="130">
        <f t="shared" si="0"/>
        <v>1736.83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1976.83</v>
      </c>
      <c r="W7" s="70">
        <f t="shared" si="3"/>
        <v>1976.83</v>
      </c>
      <c r="X7" s="79"/>
    </row>
    <row r="8" spans="1:24" s="119" customFormat="1" ht="14.5" x14ac:dyDescent="0.3">
      <c r="A8" s="126" t="s">
        <v>250</v>
      </c>
      <c r="B8" s="126" t="s">
        <v>250</v>
      </c>
      <c r="C8" s="128" t="s">
        <v>378</v>
      </c>
      <c r="D8" s="47">
        <v>0</v>
      </c>
      <c r="E8" s="125" t="s">
        <v>55</v>
      </c>
      <c r="F8" s="126" t="s">
        <v>727</v>
      </c>
      <c r="G8" s="76" t="s">
        <v>31</v>
      </c>
      <c r="H8" s="76" t="s">
        <v>32</v>
      </c>
      <c r="I8" s="76" t="s">
        <v>33</v>
      </c>
      <c r="J8" s="128" t="s">
        <v>38</v>
      </c>
      <c r="K8" s="128" t="s">
        <v>39</v>
      </c>
      <c r="L8" s="117">
        <v>45146</v>
      </c>
      <c r="M8" s="117">
        <v>45147</v>
      </c>
      <c r="N8" s="130">
        <f>1736.83/2</f>
        <v>868.41499999999996</v>
      </c>
      <c r="O8" s="130">
        <f>1736.83/2</f>
        <v>868.41499999999996</v>
      </c>
      <c r="P8" s="130">
        <f t="shared" si="0"/>
        <v>1736.83</v>
      </c>
      <c r="Q8" s="79">
        <v>0</v>
      </c>
      <c r="R8" s="118">
        <v>120</v>
      </c>
      <c r="S8" s="79">
        <v>0</v>
      </c>
      <c r="T8" s="118">
        <v>0</v>
      </c>
      <c r="U8" s="70">
        <f t="shared" si="1"/>
        <v>0</v>
      </c>
      <c r="V8" s="70">
        <f t="shared" si="2"/>
        <v>1736.83</v>
      </c>
      <c r="W8" s="70">
        <f t="shared" si="3"/>
        <v>1736.83</v>
      </c>
      <c r="X8" s="79"/>
    </row>
    <row r="9" spans="1:24" s="119" customFormat="1" ht="14.5" x14ac:dyDescent="0.3">
      <c r="A9" s="126" t="s">
        <v>250</v>
      </c>
      <c r="B9" s="126" t="s">
        <v>250</v>
      </c>
      <c r="C9" s="128" t="s">
        <v>670</v>
      </c>
      <c r="D9" s="47">
        <v>383</v>
      </c>
      <c r="E9" s="128" t="s">
        <v>703</v>
      </c>
      <c r="F9" s="126" t="s">
        <v>727</v>
      </c>
      <c r="G9" s="76" t="s">
        <v>31</v>
      </c>
      <c r="H9" s="76" t="s">
        <v>32</v>
      </c>
      <c r="I9" s="76" t="s">
        <v>33</v>
      </c>
      <c r="J9" s="128" t="s">
        <v>38</v>
      </c>
      <c r="K9" s="128" t="s">
        <v>39</v>
      </c>
      <c r="L9" s="117">
        <v>45146</v>
      </c>
      <c r="M9" s="117">
        <v>45147</v>
      </c>
      <c r="N9" s="130">
        <f>4101.45/2</f>
        <v>2050.7249999999999</v>
      </c>
      <c r="O9" s="130">
        <f>4101.45/2</f>
        <v>2050.7249999999999</v>
      </c>
      <c r="P9" s="130">
        <f t="shared" si="0"/>
        <v>4101.45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4341.45</v>
      </c>
      <c r="W9" s="70">
        <f t="shared" si="3"/>
        <v>4341.45</v>
      </c>
      <c r="X9" s="79"/>
    </row>
    <row r="10" spans="1:24" s="119" customFormat="1" ht="14.5" x14ac:dyDescent="0.3">
      <c r="A10" s="133" t="s">
        <v>229</v>
      </c>
      <c r="B10" s="126" t="s">
        <v>227</v>
      </c>
      <c r="C10" s="128" t="s">
        <v>728</v>
      </c>
      <c r="D10" s="47">
        <v>387</v>
      </c>
      <c r="E10" s="135" t="s">
        <v>262</v>
      </c>
      <c r="F10" s="126" t="s">
        <v>730</v>
      </c>
      <c r="G10" s="76" t="s">
        <v>31</v>
      </c>
      <c r="H10" s="76" t="s">
        <v>32</v>
      </c>
      <c r="I10" s="76" t="s">
        <v>33</v>
      </c>
      <c r="J10" s="135" t="s">
        <v>121</v>
      </c>
      <c r="K10" s="135" t="s">
        <v>62</v>
      </c>
      <c r="L10" s="117">
        <v>45139</v>
      </c>
      <c r="M10" s="117">
        <v>45140</v>
      </c>
      <c r="N10" s="130">
        <f>2261.71/2</f>
        <v>1130.855</v>
      </c>
      <c r="O10" s="130">
        <f>2261.71/2</f>
        <v>1130.855</v>
      </c>
      <c r="P10" s="130">
        <f t="shared" si="0"/>
        <v>2261.71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ref="V10:V15" si="5">P10+U10</f>
        <v>2501.71</v>
      </c>
      <c r="W10" s="70">
        <f t="shared" ref="W10:W15" si="6">V10</f>
        <v>2501.71</v>
      </c>
      <c r="X10" s="79"/>
    </row>
    <row r="11" spans="1:24" s="119" customFormat="1" ht="14.5" x14ac:dyDescent="0.3">
      <c r="A11" s="133" t="s">
        <v>229</v>
      </c>
      <c r="B11" s="126" t="s">
        <v>227</v>
      </c>
      <c r="C11" s="128" t="s">
        <v>729</v>
      </c>
      <c r="D11" s="47">
        <v>390</v>
      </c>
      <c r="E11" s="135" t="s">
        <v>130</v>
      </c>
      <c r="F11" s="126" t="s">
        <v>730</v>
      </c>
      <c r="G11" s="76" t="s">
        <v>31</v>
      </c>
      <c r="H11" s="76" t="s">
        <v>32</v>
      </c>
      <c r="I11" s="76" t="s">
        <v>33</v>
      </c>
      <c r="J11" s="135" t="s">
        <v>121</v>
      </c>
      <c r="K11" s="135" t="s">
        <v>62</v>
      </c>
      <c r="L11" s="117">
        <v>45139</v>
      </c>
      <c r="M11" s="117">
        <v>45140</v>
      </c>
      <c r="N11" s="130">
        <f>3504.47/2</f>
        <v>1752.2349999999999</v>
      </c>
      <c r="O11" s="130">
        <f>3504.47/2</f>
        <v>1752.2349999999999</v>
      </c>
      <c r="P11" s="130">
        <f t="shared" si="0"/>
        <v>3504.47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5"/>
        <v>3744.47</v>
      </c>
      <c r="W11" s="70">
        <f t="shared" si="6"/>
        <v>3744.47</v>
      </c>
      <c r="X11" s="79"/>
    </row>
    <row r="12" spans="1:24" s="119" customFormat="1" ht="14.5" x14ac:dyDescent="0.3">
      <c r="A12" s="126" t="s">
        <v>372</v>
      </c>
      <c r="B12" s="126" t="s">
        <v>372</v>
      </c>
      <c r="C12" s="128" t="s">
        <v>75</v>
      </c>
      <c r="D12" s="47">
        <v>0</v>
      </c>
      <c r="E12" s="133" t="s">
        <v>88</v>
      </c>
      <c r="F12" s="126" t="s">
        <v>727</v>
      </c>
      <c r="G12" s="76" t="s">
        <v>31</v>
      </c>
      <c r="H12" s="135" t="s">
        <v>111</v>
      </c>
      <c r="I12" s="135" t="s">
        <v>112</v>
      </c>
      <c r="J12" s="128" t="s">
        <v>38</v>
      </c>
      <c r="K12" s="128" t="s">
        <v>39</v>
      </c>
      <c r="L12" s="117">
        <v>45146</v>
      </c>
      <c r="M12" s="117">
        <v>45148</v>
      </c>
      <c r="N12" s="130">
        <f>2023.5/2</f>
        <v>1011.75</v>
      </c>
      <c r="O12" s="130">
        <f>2023.5/2</f>
        <v>1011.75</v>
      </c>
      <c r="P12" s="130">
        <f t="shared" si="0"/>
        <v>2023.5</v>
      </c>
      <c r="Q12" s="79">
        <v>0</v>
      </c>
      <c r="R12" s="118">
        <v>120</v>
      </c>
      <c r="S12" s="79">
        <v>0</v>
      </c>
      <c r="T12" s="118">
        <v>0</v>
      </c>
      <c r="U12" s="70">
        <f t="shared" si="1"/>
        <v>0</v>
      </c>
      <c r="V12" s="70">
        <f t="shared" si="5"/>
        <v>2023.5</v>
      </c>
      <c r="W12" s="70">
        <f t="shared" si="6"/>
        <v>2023.5</v>
      </c>
      <c r="X12" s="79"/>
    </row>
    <row r="13" spans="1:24" s="119" customFormat="1" ht="14.5" x14ac:dyDescent="0.3">
      <c r="A13" s="126" t="s">
        <v>250</v>
      </c>
      <c r="B13" s="126" t="s">
        <v>250</v>
      </c>
      <c r="C13" s="128" t="s">
        <v>378</v>
      </c>
      <c r="D13" s="47">
        <v>0</v>
      </c>
      <c r="E13" s="125" t="s">
        <v>55</v>
      </c>
      <c r="F13" s="126" t="s">
        <v>732</v>
      </c>
      <c r="G13" s="76" t="s">
        <v>31</v>
      </c>
      <c r="H13" s="76" t="s">
        <v>32</v>
      </c>
      <c r="I13" s="76" t="s">
        <v>33</v>
      </c>
      <c r="J13" s="135" t="s">
        <v>32</v>
      </c>
      <c r="K13" s="128" t="s">
        <v>731</v>
      </c>
      <c r="L13" s="117">
        <v>45155</v>
      </c>
      <c r="M13" s="117">
        <v>45156</v>
      </c>
      <c r="N13" s="130">
        <f>2404.66/2</f>
        <v>1202.33</v>
      </c>
      <c r="O13" s="130">
        <f>2404.66/2</f>
        <v>1202.33</v>
      </c>
      <c r="P13" s="130">
        <f t="shared" si="0"/>
        <v>2404.66</v>
      </c>
      <c r="Q13" s="79">
        <v>0</v>
      </c>
      <c r="R13" s="118">
        <v>120</v>
      </c>
      <c r="S13" s="79">
        <v>0</v>
      </c>
      <c r="T13" s="118">
        <v>0</v>
      </c>
      <c r="U13" s="70">
        <f t="shared" si="1"/>
        <v>0</v>
      </c>
      <c r="V13" s="70">
        <f t="shared" si="5"/>
        <v>2404.66</v>
      </c>
      <c r="W13" s="70">
        <f t="shared" si="6"/>
        <v>2404.66</v>
      </c>
      <c r="X13" s="79"/>
    </row>
    <row r="14" spans="1:24" s="119" customFormat="1" ht="14.5" x14ac:dyDescent="0.3">
      <c r="A14" s="126" t="s">
        <v>250</v>
      </c>
      <c r="B14" s="135" t="s">
        <v>250</v>
      </c>
      <c r="C14" s="128" t="s">
        <v>670</v>
      </c>
      <c r="D14" s="47">
        <v>383</v>
      </c>
      <c r="E14" s="128" t="s">
        <v>703</v>
      </c>
      <c r="F14" s="126" t="s">
        <v>732</v>
      </c>
      <c r="G14" s="76" t="s">
        <v>31</v>
      </c>
      <c r="H14" s="76" t="s">
        <v>32</v>
      </c>
      <c r="I14" s="76" t="s">
        <v>33</v>
      </c>
      <c r="J14" s="135" t="s">
        <v>32</v>
      </c>
      <c r="K14" s="128" t="s">
        <v>731</v>
      </c>
      <c r="L14" s="117">
        <v>45155</v>
      </c>
      <c r="M14" s="117">
        <v>45156</v>
      </c>
      <c r="N14" s="130">
        <f>2404.66/2</f>
        <v>1202.33</v>
      </c>
      <c r="O14" s="130">
        <f>2404.66/2</f>
        <v>1202.33</v>
      </c>
      <c r="P14" s="130">
        <f t="shared" si="0"/>
        <v>2404.66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>P14+U14</f>
        <v>2644.66</v>
      </c>
      <c r="W14" s="70">
        <f t="shared" si="6"/>
        <v>2644.66</v>
      </c>
      <c r="X14" s="79"/>
    </row>
    <row r="15" spans="1:24" s="119" customFormat="1" ht="14.5" x14ac:dyDescent="0.3">
      <c r="A15" s="126" t="s">
        <v>250</v>
      </c>
      <c r="B15" s="135" t="s">
        <v>212</v>
      </c>
      <c r="C15" s="128" t="s">
        <v>612</v>
      </c>
      <c r="D15" s="47">
        <v>365</v>
      </c>
      <c r="E15" s="124" t="s">
        <v>52</v>
      </c>
      <c r="F15" s="126" t="s">
        <v>733</v>
      </c>
      <c r="G15" s="76" t="s">
        <v>31</v>
      </c>
      <c r="H15" s="76" t="s">
        <v>32</v>
      </c>
      <c r="I15" s="76" t="s">
        <v>33</v>
      </c>
      <c r="J15" s="135" t="s">
        <v>32</v>
      </c>
      <c r="K15" s="128" t="s">
        <v>390</v>
      </c>
      <c r="L15" s="117">
        <v>45152</v>
      </c>
      <c r="M15" s="117">
        <v>45152</v>
      </c>
      <c r="N15" s="130">
        <f>1248.3/2</f>
        <v>624.15</v>
      </c>
      <c r="O15" s="130">
        <f>1248.3/2</f>
        <v>624.15</v>
      </c>
      <c r="P15" s="130">
        <f t="shared" si="0"/>
        <v>1248.3</v>
      </c>
      <c r="Q15" s="79">
        <v>1</v>
      </c>
      <c r="R15" s="118">
        <v>120</v>
      </c>
      <c r="S15" s="79">
        <v>0</v>
      </c>
      <c r="T15" s="118">
        <v>0</v>
      </c>
      <c r="U15" s="70">
        <f t="shared" si="1"/>
        <v>120</v>
      </c>
      <c r="V15" s="70">
        <f t="shared" si="5"/>
        <v>1368.3</v>
      </c>
      <c r="W15" s="70">
        <f t="shared" si="6"/>
        <v>1368.3</v>
      </c>
      <c r="X15" s="79"/>
    </row>
    <row r="16" spans="1:24" s="119" customFormat="1" ht="14.5" x14ac:dyDescent="0.3">
      <c r="A16" s="126" t="s">
        <v>250</v>
      </c>
      <c r="B16" s="135" t="s">
        <v>212</v>
      </c>
      <c r="C16" s="128" t="s">
        <v>270</v>
      </c>
      <c r="D16" s="47" t="s">
        <v>173</v>
      </c>
      <c r="E16" s="111" t="s">
        <v>599</v>
      </c>
      <c r="F16" s="126" t="s">
        <v>733</v>
      </c>
      <c r="G16" s="76" t="s">
        <v>31</v>
      </c>
      <c r="H16" s="76" t="s">
        <v>32</v>
      </c>
      <c r="I16" s="76" t="s">
        <v>33</v>
      </c>
      <c r="J16" s="135" t="s">
        <v>32</v>
      </c>
      <c r="K16" s="128" t="s">
        <v>390</v>
      </c>
      <c r="L16" s="117">
        <v>45152</v>
      </c>
      <c r="M16" s="117">
        <v>45152</v>
      </c>
      <c r="N16" s="130">
        <f>1248.3/2</f>
        <v>624.15</v>
      </c>
      <c r="O16" s="130">
        <f>1248.3/2</f>
        <v>624.15</v>
      </c>
      <c r="P16" s="130">
        <f t="shared" si="0"/>
        <v>1248.3</v>
      </c>
      <c r="Q16" s="79">
        <v>1</v>
      </c>
      <c r="R16" s="118">
        <v>120</v>
      </c>
      <c r="S16" s="79">
        <v>0</v>
      </c>
      <c r="T16" s="118">
        <v>0</v>
      </c>
      <c r="U16" s="70">
        <f t="shared" si="1"/>
        <v>120</v>
      </c>
      <c r="V16" s="70">
        <f t="shared" si="2"/>
        <v>1368.3</v>
      </c>
      <c r="W16" s="70">
        <f t="shared" si="3"/>
        <v>1368.3</v>
      </c>
      <c r="X16" s="79"/>
    </row>
    <row r="17" spans="1:24" s="119" customFormat="1" ht="14.5" x14ac:dyDescent="0.3">
      <c r="A17" s="126" t="s">
        <v>229</v>
      </c>
      <c r="B17" s="135" t="s">
        <v>215</v>
      </c>
      <c r="C17" s="128" t="s">
        <v>48</v>
      </c>
      <c r="D17" s="47">
        <v>56</v>
      </c>
      <c r="E17" s="110" t="s">
        <v>615</v>
      </c>
      <c r="F17" s="126" t="s">
        <v>734</v>
      </c>
      <c r="G17" s="76" t="s">
        <v>31</v>
      </c>
      <c r="H17" s="76" t="s">
        <v>32</v>
      </c>
      <c r="I17" s="76" t="s">
        <v>33</v>
      </c>
      <c r="J17" s="135" t="s">
        <v>38</v>
      </c>
      <c r="K17" s="128" t="s">
        <v>39</v>
      </c>
      <c r="L17" s="117">
        <v>45161</v>
      </c>
      <c r="M17" s="117">
        <v>45162</v>
      </c>
      <c r="N17" s="130">
        <f>3442.83/2</f>
        <v>1721.415</v>
      </c>
      <c r="O17" s="130">
        <f>3442.83/2</f>
        <v>1721.415</v>
      </c>
      <c r="P17" s="130">
        <f t="shared" si="0"/>
        <v>3442.83</v>
      </c>
      <c r="Q17" s="79">
        <v>0</v>
      </c>
      <c r="R17" s="118">
        <v>120</v>
      </c>
      <c r="S17" s="79">
        <v>0</v>
      </c>
      <c r="T17" s="118">
        <v>0</v>
      </c>
      <c r="U17" s="70">
        <f t="shared" ref="U17:U18" si="7">Q17*R17+S17*T17</f>
        <v>0</v>
      </c>
      <c r="V17" s="70">
        <f t="shared" ref="V17:V18" si="8">P17+U17</f>
        <v>3442.83</v>
      </c>
      <c r="W17" s="70">
        <f t="shared" ref="W17:W18" si="9">V17</f>
        <v>3442.83</v>
      </c>
      <c r="X17" s="79"/>
    </row>
    <row r="18" spans="1:24" s="119" customFormat="1" ht="14.5" x14ac:dyDescent="0.3">
      <c r="A18" s="126" t="s">
        <v>250</v>
      </c>
      <c r="B18" s="135" t="s">
        <v>250</v>
      </c>
      <c r="C18" s="128" t="s">
        <v>378</v>
      </c>
      <c r="D18" s="47">
        <v>0</v>
      </c>
      <c r="E18" s="125" t="s">
        <v>55</v>
      </c>
      <c r="F18" s="126" t="s">
        <v>734</v>
      </c>
      <c r="G18" s="76" t="s">
        <v>31</v>
      </c>
      <c r="H18" s="76" t="s">
        <v>32</v>
      </c>
      <c r="I18" s="76" t="s">
        <v>33</v>
      </c>
      <c r="J18" s="135" t="s">
        <v>38</v>
      </c>
      <c r="K18" s="128" t="s">
        <v>39</v>
      </c>
      <c r="L18" s="117">
        <v>45161</v>
      </c>
      <c r="M18" s="117">
        <v>45162</v>
      </c>
      <c r="N18" s="130">
        <f>3442.83/2</f>
        <v>1721.415</v>
      </c>
      <c r="O18" s="130">
        <f>3442.83/2</f>
        <v>1721.415</v>
      </c>
      <c r="P18" s="130">
        <f t="shared" si="0"/>
        <v>3442.83</v>
      </c>
      <c r="Q18" s="79">
        <v>0</v>
      </c>
      <c r="R18" s="118">
        <v>120</v>
      </c>
      <c r="S18" s="79">
        <v>0</v>
      </c>
      <c r="T18" s="118">
        <v>0</v>
      </c>
      <c r="U18" s="70">
        <f t="shared" si="7"/>
        <v>0</v>
      </c>
      <c r="V18" s="70">
        <f t="shared" si="8"/>
        <v>3442.83</v>
      </c>
      <c r="W18" s="70">
        <f t="shared" si="9"/>
        <v>3442.83</v>
      </c>
      <c r="X18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959C7-C8F5-4138-88A8-E160BC2B5D0A}">
  <dimension ref="A1:X25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0.83203125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92"/>
      <c r="B4" s="392"/>
      <c r="C4" s="392"/>
      <c r="D4" s="392"/>
      <c r="E4" s="392"/>
      <c r="F4" s="392"/>
      <c r="G4" s="392"/>
      <c r="H4" s="10" t="s">
        <v>27</v>
      </c>
      <c r="I4" s="10" t="s">
        <v>28</v>
      </c>
      <c r="J4" s="10" t="s">
        <v>27</v>
      </c>
      <c r="K4" s="11" t="s">
        <v>29</v>
      </c>
      <c r="L4" s="392"/>
      <c r="M4" s="392"/>
      <c r="N4" s="393"/>
      <c r="O4" s="393"/>
      <c r="P4" s="393"/>
      <c r="Q4" s="10" t="s">
        <v>2</v>
      </c>
      <c r="R4" s="11" t="s">
        <v>30</v>
      </c>
      <c r="S4" s="10" t="s">
        <v>2</v>
      </c>
      <c r="T4" s="11" t="s">
        <v>30</v>
      </c>
      <c r="U4" s="392"/>
      <c r="V4" s="393"/>
      <c r="W4" s="394"/>
      <c r="X4" s="391"/>
    </row>
    <row r="5" spans="1:24" s="119" customFormat="1" ht="14.5" x14ac:dyDescent="0.35">
      <c r="A5" s="126" t="s">
        <v>372</v>
      </c>
      <c r="B5" s="137" t="s">
        <v>238</v>
      </c>
      <c r="C5" s="135" t="s">
        <v>447</v>
      </c>
      <c r="D5" s="47">
        <v>336</v>
      </c>
      <c r="E5" s="135" t="s">
        <v>735</v>
      </c>
      <c r="F5" s="136" t="s">
        <v>737</v>
      </c>
      <c r="G5" s="76" t="s">
        <v>31</v>
      </c>
      <c r="H5" s="76" t="s">
        <v>32</v>
      </c>
      <c r="I5" s="76" t="s">
        <v>33</v>
      </c>
      <c r="J5" s="136" t="s">
        <v>195</v>
      </c>
      <c r="K5" s="136" t="s">
        <v>194</v>
      </c>
      <c r="L5" s="117">
        <v>45194</v>
      </c>
      <c r="M5" s="117">
        <v>45197</v>
      </c>
      <c r="N5" s="130">
        <f>4105.03/2</f>
        <v>2052.5149999999999</v>
      </c>
      <c r="O5" s="130">
        <f>4105.03/2</f>
        <v>2052.5149999999999</v>
      </c>
      <c r="P5" s="130">
        <f t="shared" ref="P5:P24" si="0">SUM(N5:O5)</f>
        <v>4105.03</v>
      </c>
      <c r="Q5" s="79">
        <v>4</v>
      </c>
      <c r="R5" s="118">
        <v>120</v>
      </c>
      <c r="S5" s="79">
        <v>0</v>
      </c>
      <c r="T5" s="118">
        <v>0</v>
      </c>
      <c r="U5" s="70">
        <f t="shared" ref="U5:U24" si="1">Q5*R5+S5*T5</f>
        <v>480</v>
      </c>
      <c r="V5" s="70">
        <f t="shared" ref="V5:V18" si="2">P5+U5</f>
        <v>4585.03</v>
      </c>
      <c r="W5" s="70">
        <f t="shared" ref="W5:W18" si="3">V5</f>
        <v>4585.03</v>
      </c>
      <c r="X5" s="79"/>
    </row>
    <row r="6" spans="1:24" s="119" customFormat="1" ht="14.5" x14ac:dyDescent="0.35">
      <c r="A6" s="126" t="s">
        <v>372</v>
      </c>
      <c r="B6" s="137" t="s">
        <v>238</v>
      </c>
      <c r="C6" s="128" t="s">
        <v>736</v>
      </c>
      <c r="D6" s="47">
        <v>361</v>
      </c>
      <c r="E6" s="136" t="s">
        <v>84</v>
      </c>
      <c r="F6" s="136" t="s">
        <v>737</v>
      </c>
      <c r="G6" s="76" t="s">
        <v>31</v>
      </c>
      <c r="H6" s="76" t="s">
        <v>32</v>
      </c>
      <c r="I6" s="76" t="s">
        <v>33</v>
      </c>
      <c r="J6" s="136" t="s">
        <v>195</v>
      </c>
      <c r="K6" s="136" t="s">
        <v>194</v>
      </c>
      <c r="L6" s="117">
        <v>45194</v>
      </c>
      <c r="M6" s="117">
        <v>45197</v>
      </c>
      <c r="N6" s="130">
        <f>4105.03/2</f>
        <v>2052.5149999999999</v>
      </c>
      <c r="O6" s="130">
        <f>4105.03/2</f>
        <v>2052.5149999999999</v>
      </c>
      <c r="P6" s="130">
        <f t="shared" si="0"/>
        <v>4105.03</v>
      </c>
      <c r="Q6" s="79">
        <v>4</v>
      </c>
      <c r="R6" s="118">
        <v>12</v>
      </c>
      <c r="S6" s="79">
        <v>0</v>
      </c>
      <c r="T6" s="118">
        <v>0</v>
      </c>
      <c r="U6" s="70">
        <f t="shared" si="1"/>
        <v>48</v>
      </c>
      <c r="V6" s="70">
        <f t="shared" si="2"/>
        <v>4153.03</v>
      </c>
      <c r="W6" s="70">
        <f t="shared" si="3"/>
        <v>4153.03</v>
      </c>
      <c r="X6" s="79"/>
    </row>
    <row r="7" spans="1:24" s="119" customFormat="1" ht="14.5" x14ac:dyDescent="0.3">
      <c r="A7" s="126" t="s">
        <v>250</v>
      </c>
      <c r="B7" s="126" t="s">
        <v>250</v>
      </c>
      <c r="C7" s="128" t="s">
        <v>378</v>
      </c>
      <c r="D7" s="47">
        <v>0</v>
      </c>
      <c r="E7" s="125" t="s">
        <v>55</v>
      </c>
      <c r="F7" s="136" t="s">
        <v>738</v>
      </c>
      <c r="G7" s="76" t="s">
        <v>31</v>
      </c>
      <c r="H7" s="76" t="s">
        <v>32</v>
      </c>
      <c r="I7" s="76" t="s">
        <v>33</v>
      </c>
      <c r="J7" s="136" t="s">
        <v>32</v>
      </c>
      <c r="K7" s="136" t="s">
        <v>390</v>
      </c>
      <c r="L7" s="117">
        <v>45181</v>
      </c>
      <c r="M7" s="117">
        <v>45184</v>
      </c>
      <c r="N7" s="130">
        <f>1429/2</f>
        <v>714.5</v>
      </c>
      <c r="O7" s="130">
        <f>1429/2</f>
        <v>714.5</v>
      </c>
      <c r="P7" s="130">
        <f t="shared" si="0"/>
        <v>1429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1429</v>
      </c>
      <c r="W7" s="70">
        <f t="shared" si="3"/>
        <v>1429</v>
      </c>
      <c r="X7" s="79"/>
    </row>
    <row r="8" spans="1:24" s="119" customFormat="1" ht="14.5" x14ac:dyDescent="0.3">
      <c r="A8" s="126" t="s">
        <v>250</v>
      </c>
      <c r="B8" s="126" t="s">
        <v>250</v>
      </c>
      <c r="C8" s="128" t="s">
        <v>670</v>
      </c>
      <c r="D8" s="47">
        <v>383</v>
      </c>
      <c r="E8" s="128" t="s">
        <v>703</v>
      </c>
      <c r="F8" s="136" t="s">
        <v>738</v>
      </c>
      <c r="G8" s="76" t="s">
        <v>31</v>
      </c>
      <c r="H8" s="76" t="s">
        <v>32</v>
      </c>
      <c r="I8" s="76" t="s">
        <v>33</v>
      </c>
      <c r="J8" s="136" t="s">
        <v>32</v>
      </c>
      <c r="K8" s="136" t="s">
        <v>390</v>
      </c>
      <c r="L8" s="117">
        <v>45181</v>
      </c>
      <c r="M8" s="117">
        <v>45184</v>
      </c>
      <c r="N8" s="130">
        <f>1478.4/2</f>
        <v>739.2</v>
      </c>
      <c r="O8" s="130">
        <f>1478.4/2</f>
        <v>739.2</v>
      </c>
      <c r="P8" s="130">
        <f t="shared" si="0"/>
        <v>1478.4</v>
      </c>
      <c r="Q8" s="79">
        <v>4</v>
      </c>
      <c r="R8" s="118">
        <v>120</v>
      </c>
      <c r="S8" s="79">
        <v>0</v>
      </c>
      <c r="T8" s="118">
        <v>0</v>
      </c>
      <c r="U8" s="70">
        <f t="shared" si="1"/>
        <v>480</v>
      </c>
      <c r="V8" s="70">
        <f t="shared" si="2"/>
        <v>1958.4</v>
      </c>
      <c r="W8" s="70">
        <f t="shared" si="3"/>
        <v>1958.4</v>
      </c>
      <c r="X8" s="79"/>
    </row>
    <row r="9" spans="1:24" s="119" customFormat="1" ht="14.5" x14ac:dyDescent="0.3">
      <c r="A9" s="126" t="s">
        <v>229</v>
      </c>
      <c r="B9" s="126" t="s">
        <v>229</v>
      </c>
      <c r="C9" s="128" t="s">
        <v>698</v>
      </c>
      <c r="D9" s="47">
        <v>0</v>
      </c>
      <c r="E9" s="110" t="s">
        <v>561</v>
      </c>
      <c r="F9" s="136" t="s">
        <v>738</v>
      </c>
      <c r="G9" s="76" t="s">
        <v>31</v>
      </c>
      <c r="H9" s="76" t="s">
        <v>32</v>
      </c>
      <c r="I9" s="76" t="s">
        <v>33</v>
      </c>
      <c r="J9" s="136" t="s">
        <v>32</v>
      </c>
      <c r="K9" s="136" t="s">
        <v>390</v>
      </c>
      <c r="L9" s="117">
        <v>45181</v>
      </c>
      <c r="M9" s="117">
        <v>45184</v>
      </c>
      <c r="N9" s="130">
        <v>2248.3000000000002</v>
      </c>
      <c r="O9" s="130">
        <v>1000</v>
      </c>
      <c r="P9" s="130">
        <f t="shared" si="0"/>
        <v>3248.3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3248.3</v>
      </c>
      <c r="W9" s="70">
        <f t="shared" si="3"/>
        <v>3248.3</v>
      </c>
      <c r="X9" s="79"/>
    </row>
    <row r="10" spans="1:24" s="119" customFormat="1" ht="14.5" x14ac:dyDescent="0.3">
      <c r="A10" s="126" t="s">
        <v>229</v>
      </c>
      <c r="B10" s="126" t="s">
        <v>239</v>
      </c>
      <c r="C10" s="128" t="s">
        <v>697</v>
      </c>
      <c r="D10" s="47">
        <v>394</v>
      </c>
      <c r="E10" s="136" t="s">
        <v>705</v>
      </c>
      <c r="F10" s="136" t="s">
        <v>738</v>
      </c>
      <c r="G10" s="76" t="s">
        <v>31</v>
      </c>
      <c r="H10" s="76" t="s">
        <v>32</v>
      </c>
      <c r="I10" s="76" t="s">
        <v>33</v>
      </c>
      <c r="J10" s="136" t="s">
        <v>32</v>
      </c>
      <c r="K10" s="136" t="s">
        <v>390</v>
      </c>
      <c r="L10" s="117">
        <v>45181</v>
      </c>
      <c r="M10" s="117">
        <v>45184</v>
      </c>
      <c r="N10" s="130">
        <f>1292.4/2</f>
        <v>646.20000000000005</v>
      </c>
      <c r="O10" s="130">
        <f>1292.4/2</f>
        <v>646.20000000000005</v>
      </c>
      <c r="P10" s="130">
        <f t="shared" si="0"/>
        <v>1292.4000000000001</v>
      </c>
      <c r="Q10" s="79">
        <v>4</v>
      </c>
      <c r="R10" s="118">
        <v>120</v>
      </c>
      <c r="S10" s="79">
        <v>0</v>
      </c>
      <c r="T10" s="118">
        <v>0</v>
      </c>
      <c r="U10" s="70">
        <f t="shared" si="1"/>
        <v>480</v>
      </c>
      <c r="V10" s="70">
        <f t="shared" si="2"/>
        <v>1772.4</v>
      </c>
      <c r="W10" s="70">
        <f t="shared" si="3"/>
        <v>1772.4</v>
      </c>
      <c r="X10" s="79"/>
    </row>
    <row r="11" spans="1:24" s="119" customFormat="1" ht="14.5" x14ac:dyDescent="0.3">
      <c r="A11" s="126" t="s">
        <v>229</v>
      </c>
      <c r="B11" s="126" t="s">
        <v>227</v>
      </c>
      <c r="C11" s="128" t="s">
        <v>729</v>
      </c>
      <c r="D11" s="47">
        <v>390</v>
      </c>
      <c r="E11" s="135" t="s">
        <v>130</v>
      </c>
      <c r="F11" s="136" t="s">
        <v>738</v>
      </c>
      <c r="G11" s="76" t="s">
        <v>31</v>
      </c>
      <c r="H11" s="76" t="s">
        <v>32</v>
      </c>
      <c r="I11" s="76" t="s">
        <v>33</v>
      </c>
      <c r="J11" s="136" t="s">
        <v>32</v>
      </c>
      <c r="K11" s="136" t="s">
        <v>390</v>
      </c>
      <c r="L11" s="117">
        <v>45181</v>
      </c>
      <c r="M11" s="117">
        <v>45184</v>
      </c>
      <c r="N11" s="130">
        <f>1292.4/2</f>
        <v>646.20000000000005</v>
      </c>
      <c r="O11" s="130">
        <f>1292.4/2</f>
        <v>646.20000000000005</v>
      </c>
      <c r="P11" s="130">
        <f t="shared" si="0"/>
        <v>1292.4000000000001</v>
      </c>
      <c r="Q11" s="79">
        <v>4</v>
      </c>
      <c r="R11" s="118">
        <v>120</v>
      </c>
      <c r="S11" s="79">
        <v>0</v>
      </c>
      <c r="T11" s="118">
        <v>0</v>
      </c>
      <c r="U11" s="70">
        <f t="shared" si="1"/>
        <v>480</v>
      </c>
      <c r="V11" s="70">
        <f t="shared" si="2"/>
        <v>1772.4</v>
      </c>
      <c r="W11" s="70">
        <f t="shared" si="3"/>
        <v>1772.4</v>
      </c>
      <c r="X11" s="79"/>
    </row>
    <row r="12" spans="1:24" s="119" customFormat="1" ht="14.5" x14ac:dyDescent="0.3">
      <c r="A12" s="126" t="s">
        <v>250</v>
      </c>
      <c r="B12" s="126" t="s">
        <v>250</v>
      </c>
      <c r="C12" s="128" t="s">
        <v>378</v>
      </c>
      <c r="D12" s="47">
        <v>0</v>
      </c>
      <c r="E12" s="125" t="s">
        <v>55</v>
      </c>
      <c r="F12" s="136" t="s">
        <v>739</v>
      </c>
      <c r="G12" s="76" t="s">
        <v>31</v>
      </c>
      <c r="H12" s="76" t="s">
        <v>32</v>
      </c>
      <c r="I12" s="76" t="s">
        <v>33</v>
      </c>
      <c r="J12" s="136" t="s">
        <v>38</v>
      </c>
      <c r="K12" s="136" t="s">
        <v>39</v>
      </c>
      <c r="L12" s="117">
        <v>45187</v>
      </c>
      <c r="M12" s="117">
        <v>45188</v>
      </c>
      <c r="N12" s="130">
        <f>1582.83/2</f>
        <v>791.41499999999996</v>
      </c>
      <c r="O12" s="130">
        <f>1582.83/2</f>
        <v>791.41499999999996</v>
      </c>
      <c r="P12" s="130">
        <f t="shared" si="0"/>
        <v>1582.83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1582.83</v>
      </c>
      <c r="W12" s="70">
        <f t="shared" si="3"/>
        <v>1582.83</v>
      </c>
      <c r="X12" s="79"/>
    </row>
    <row r="13" spans="1:24" s="119" customFormat="1" ht="14.5" x14ac:dyDescent="0.3">
      <c r="A13" s="126" t="s">
        <v>250</v>
      </c>
      <c r="B13" s="126" t="s">
        <v>212</v>
      </c>
      <c r="C13" s="128" t="s">
        <v>397</v>
      </c>
      <c r="D13" s="47">
        <v>345</v>
      </c>
      <c r="E13" s="136" t="s">
        <v>407</v>
      </c>
      <c r="F13" s="136" t="s">
        <v>739</v>
      </c>
      <c r="G13" s="76" t="s">
        <v>31</v>
      </c>
      <c r="H13" s="76" t="s">
        <v>32</v>
      </c>
      <c r="I13" s="76" t="s">
        <v>33</v>
      </c>
      <c r="J13" s="136" t="s">
        <v>38</v>
      </c>
      <c r="K13" s="136" t="s">
        <v>39</v>
      </c>
      <c r="L13" s="117">
        <v>45187</v>
      </c>
      <c r="M13" s="117">
        <v>45188</v>
      </c>
      <c r="N13" s="130">
        <f>1758.83/2</f>
        <v>879.41499999999996</v>
      </c>
      <c r="O13" s="130">
        <f>1758.83/2</f>
        <v>879.41499999999996</v>
      </c>
      <c r="P13" s="130">
        <f t="shared" si="0"/>
        <v>1758.83</v>
      </c>
      <c r="Q13" s="79">
        <v>2</v>
      </c>
      <c r="R13" s="118">
        <v>120</v>
      </c>
      <c r="S13" s="79">
        <v>0</v>
      </c>
      <c r="T13" s="118">
        <v>0</v>
      </c>
      <c r="U13" s="70">
        <f t="shared" si="1"/>
        <v>240</v>
      </c>
      <c r="V13" s="70">
        <f t="shared" si="2"/>
        <v>1998.83</v>
      </c>
      <c r="W13" s="70">
        <f t="shared" si="3"/>
        <v>1998.83</v>
      </c>
      <c r="X13" s="79"/>
    </row>
    <row r="14" spans="1:24" s="119" customFormat="1" ht="14.5" x14ac:dyDescent="0.3">
      <c r="A14" s="126" t="s">
        <v>250</v>
      </c>
      <c r="B14" s="126" t="s">
        <v>322</v>
      </c>
      <c r="C14" s="128" t="s">
        <v>320</v>
      </c>
      <c r="D14" s="47">
        <v>204</v>
      </c>
      <c r="E14" s="136" t="s">
        <v>647</v>
      </c>
      <c r="F14" s="136" t="s">
        <v>740</v>
      </c>
      <c r="G14" s="76" t="s">
        <v>31</v>
      </c>
      <c r="H14" s="76" t="s">
        <v>32</v>
      </c>
      <c r="I14" s="76" t="s">
        <v>33</v>
      </c>
      <c r="J14" s="136" t="s">
        <v>61</v>
      </c>
      <c r="K14" s="136" t="s">
        <v>413</v>
      </c>
      <c r="L14" s="117">
        <v>45188</v>
      </c>
      <c r="M14" s="117">
        <v>45189</v>
      </c>
      <c r="N14" s="130">
        <f>1507.43/2</f>
        <v>753.71500000000003</v>
      </c>
      <c r="O14" s="130">
        <f>1507.43/2</f>
        <v>753.71500000000003</v>
      </c>
      <c r="P14" s="130">
        <f t="shared" si="0"/>
        <v>1507.43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>P14+U14</f>
        <v>1747.43</v>
      </c>
      <c r="W14" s="70">
        <f t="shared" si="3"/>
        <v>1747.43</v>
      </c>
      <c r="X14" s="79"/>
    </row>
    <row r="15" spans="1:24" s="119" customFormat="1" ht="14.5" x14ac:dyDescent="0.3">
      <c r="A15" s="126" t="s">
        <v>372</v>
      </c>
      <c r="B15" s="126" t="s">
        <v>372</v>
      </c>
      <c r="C15" s="128" t="s">
        <v>134</v>
      </c>
      <c r="D15" s="47">
        <v>202</v>
      </c>
      <c r="E15" s="128" t="s">
        <v>704</v>
      </c>
      <c r="F15" s="136" t="s">
        <v>741</v>
      </c>
      <c r="G15" s="76" t="s">
        <v>31</v>
      </c>
      <c r="H15" s="76" t="s">
        <v>32</v>
      </c>
      <c r="I15" s="76" t="s">
        <v>33</v>
      </c>
      <c r="J15" s="136" t="s">
        <v>38</v>
      </c>
      <c r="K15" s="136" t="s">
        <v>39</v>
      </c>
      <c r="L15" s="117">
        <v>45181</v>
      </c>
      <c r="M15" s="117">
        <v>45182</v>
      </c>
      <c r="N15" s="130">
        <f>3435.31/2</f>
        <v>1717.655</v>
      </c>
      <c r="O15" s="130">
        <f>3435.31/2</f>
        <v>1717.655</v>
      </c>
      <c r="P15" s="130">
        <f t="shared" si="0"/>
        <v>3435.31</v>
      </c>
      <c r="Q15" s="79">
        <v>2</v>
      </c>
      <c r="R15" s="118">
        <v>120</v>
      </c>
      <c r="S15" s="79">
        <v>0</v>
      </c>
      <c r="T15" s="118">
        <v>0</v>
      </c>
      <c r="U15" s="70">
        <f t="shared" si="1"/>
        <v>240</v>
      </c>
      <c r="V15" s="70">
        <f t="shared" si="2"/>
        <v>3675.31</v>
      </c>
      <c r="W15" s="70">
        <f t="shared" si="3"/>
        <v>3675.31</v>
      </c>
      <c r="X15" s="79"/>
    </row>
    <row r="16" spans="1:24" s="119" customFormat="1" ht="14.5" x14ac:dyDescent="0.3">
      <c r="A16" s="126" t="s">
        <v>229</v>
      </c>
      <c r="B16" s="126" t="s">
        <v>215</v>
      </c>
      <c r="C16" s="128" t="s">
        <v>48</v>
      </c>
      <c r="D16" s="47">
        <v>56</v>
      </c>
      <c r="E16" s="110" t="s">
        <v>615</v>
      </c>
      <c r="F16" s="136" t="s">
        <v>742</v>
      </c>
      <c r="G16" s="76" t="s">
        <v>31</v>
      </c>
      <c r="H16" s="76" t="s">
        <v>32</v>
      </c>
      <c r="I16" s="76" t="s">
        <v>33</v>
      </c>
      <c r="J16" s="136" t="s">
        <v>61</v>
      </c>
      <c r="K16" s="136" t="s">
        <v>62</v>
      </c>
      <c r="L16" s="117">
        <v>45173</v>
      </c>
      <c r="M16" s="117">
        <v>45174</v>
      </c>
      <c r="N16" s="130">
        <f>3863.08/2</f>
        <v>1931.54</v>
      </c>
      <c r="O16" s="130">
        <f>3863.08/2</f>
        <v>1931.54</v>
      </c>
      <c r="P16" s="130">
        <f t="shared" si="0"/>
        <v>3863.08</v>
      </c>
      <c r="Q16" s="79">
        <v>2</v>
      </c>
      <c r="R16" s="118">
        <v>120</v>
      </c>
      <c r="S16" s="79">
        <v>0</v>
      </c>
      <c r="T16" s="118">
        <v>0</v>
      </c>
      <c r="U16" s="70">
        <f t="shared" si="1"/>
        <v>240</v>
      </c>
      <c r="V16" s="70">
        <f t="shared" si="2"/>
        <v>4103.08</v>
      </c>
      <c r="W16" s="70">
        <f t="shared" si="3"/>
        <v>4103.08</v>
      </c>
      <c r="X16" s="79"/>
    </row>
    <row r="17" spans="1:24" s="119" customFormat="1" ht="14.5" x14ac:dyDescent="0.3">
      <c r="A17" s="126" t="s">
        <v>229</v>
      </c>
      <c r="B17" s="126" t="s">
        <v>227</v>
      </c>
      <c r="C17" s="136" t="s">
        <v>64</v>
      </c>
      <c r="D17" s="47">
        <v>195</v>
      </c>
      <c r="E17" s="136" t="s">
        <v>750</v>
      </c>
      <c r="F17" s="136" t="s">
        <v>743</v>
      </c>
      <c r="G17" s="76" t="s">
        <v>31</v>
      </c>
      <c r="H17" s="76" t="s">
        <v>32</v>
      </c>
      <c r="I17" s="76" t="s">
        <v>33</v>
      </c>
      <c r="J17" s="136" t="s">
        <v>32</v>
      </c>
      <c r="K17" s="136" t="s">
        <v>390</v>
      </c>
      <c r="L17" s="117">
        <v>45180</v>
      </c>
      <c r="M17" s="117">
        <v>45181</v>
      </c>
      <c r="N17" s="130">
        <f>2142.13/2</f>
        <v>1071.0650000000001</v>
      </c>
      <c r="O17" s="130">
        <f>2142.13/2</f>
        <v>1071.0650000000001</v>
      </c>
      <c r="P17" s="130">
        <f t="shared" si="0"/>
        <v>2142.13</v>
      </c>
      <c r="Q17" s="79">
        <v>2</v>
      </c>
      <c r="R17" s="118">
        <v>120</v>
      </c>
      <c r="S17" s="79">
        <v>0</v>
      </c>
      <c r="T17" s="118">
        <v>0</v>
      </c>
      <c r="U17" s="70">
        <f t="shared" si="1"/>
        <v>240</v>
      </c>
      <c r="V17" s="70">
        <f t="shared" si="2"/>
        <v>2382.13</v>
      </c>
      <c r="W17" s="70">
        <f t="shared" si="3"/>
        <v>2382.13</v>
      </c>
      <c r="X17" s="79"/>
    </row>
    <row r="18" spans="1:24" s="119" customFormat="1" ht="14.5" x14ac:dyDescent="0.3">
      <c r="A18" s="126" t="s">
        <v>372</v>
      </c>
      <c r="B18" s="135" t="s">
        <v>225</v>
      </c>
      <c r="C18" s="128" t="s">
        <v>42</v>
      </c>
      <c r="D18" s="47">
        <v>232</v>
      </c>
      <c r="E18" s="136" t="s">
        <v>54</v>
      </c>
      <c r="F18" s="136" t="s">
        <v>744</v>
      </c>
      <c r="G18" s="76" t="s">
        <v>31</v>
      </c>
      <c r="H18" s="76" t="s">
        <v>32</v>
      </c>
      <c r="I18" s="76" t="s">
        <v>33</v>
      </c>
      <c r="J18" s="136" t="s">
        <v>38</v>
      </c>
      <c r="K18" s="136" t="s">
        <v>39</v>
      </c>
      <c r="L18" s="117">
        <v>45189</v>
      </c>
      <c r="M18" s="117">
        <v>45190</v>
      </c>
      <c r="N18" s="130">
        <f>2455.83/2</f>
        <v>1227.915</v>
      </c>
      <c r="O18" s="130">
        <f>2455.83/2</f>
        <v>1227.915</v>
      </c>
      <c r="P18" s="130">
        <f t="shared" si="0"/>
        <v>2455.83</v>
      </c>
      <c r="Q18" s="79">
        <v>2</v>
      </c>
      <c r="R18" s="118">
        <v>120</v>
      </c>
      <c r="S18" s="79">
        <v>0</v>
      </c>
      <c r="T18" s="118">
        <v>0</v>
      </c>
      <c r="U18" s="70">
        <f t="shared" si="1"/>
        <v>240</v>
      </c>
      <c r="V18" s="70">
        <f t="shared" si="2"/>
        <v>2695.83</v>
      </c>
      <c r="W18" s="70">
        <f t="shared" si="3"/>
        <v>2695.83</v>
      </c>
      <c r="X18" s="79"/>
    </row>
    <row r="19" spans="1:24" s="119" customFormat="1" ht="14.5" x14ac:dyDescent="0.3">
      <c r="A19" s="126" t="s">
        <v>229</v>
      </c>
      <c r="B19" s="135" t="s">
        <v>214</v>
      </c>
      <c r="C19" s="136" t="s">
        <v>745</v>
      </c>
      <c r="D19" s="47">
        <v>386</v>
      </c>
      <c r="E19" s="136" t="s">
        <v>221</v>
      </c>
      <c r="F19" s="136" t="s">
        <v>746</v>
      </c>
      <c r="G19" s="76" t="s">
        <v>31</v>
      </c>
      <c r="H19" s="76" t="s">
        <v>32</v>
      </c>
      <c r="I19" s="76" t="s">
        <v>33</v>
      </c>
      <c r="J19" s="136" t="s">
        <v>38</v>
      </c>
      <c r="K19" s="136" t="s">
        <v>39</v>
      </c>
      <c r="L19" s="117">
        <v>45187</v>
      </c>
      <c r="M19" s="117">
        <v>45188</v>
      </c>
      <c r="N19" s="130">
        <f>3131.42/2</f>
        <v>1565.71</v>
      </c>
      <c r="O19" s="130">
        <f>3131.42/2</f>
        <v>1565.71</v>
      </c>
      <c r="P19" s="130">
        <f t="shared" si="0"/>
        <v>3131.42</v>
      </c>
      <c r="Q19" s="79">
        <v>2</v>
      </c>
      <c r="R19" s="118">
        <v>120</v>
      </c>
      <c r="S19" s="79">
        <v>0</v>
      </c>
      <c r="T19" s="118">
        <v>0</v>
      </c>
      <c r="U19" s="70">
        <f t="shared" si="1"/>
        <v>240</v>
      </c>
      <c r="V19" s="70">
        <f t="shared" ref="V19:V24" si="4">P19+U19</f>
        <v>3371.42</v>
      </c>
      <c r="W19" s="70">
        <f t="shared" ref="W19:W24" si="5">V19</f>
        <v>3371.42</v>
      </c>
      <c r="X19" s="79"/>
    </row>
    <row r="20" spans="1:24" s="119" customFormat="1" ht="14.5" x14ac:dyDescent="0.35">
      <c r="A20" s="126" t="s">
        <v>372</v>
      </c>
      <c r="B20" s="137" t="s">
        <v>238</v>
      </c>
      <c r="C20" s="128" t="s">
        <v>135</v>
      </c>
      <c r="D20" s="47">
        <v>230</v>
      </c>
      <c r="E20" s="131" t="s">
        <v>710</v>
      </c>
      <c r="F20" s="136" t="s">
        <v>747</v>
      </c>
      <c r="G20" s="76" t="s">
        <v>31</v>
      </c>
      <c r="H20" s="76" t="s">
        <v>32</v>
      </c>
      <c r="I20" s="76" t="s">
        <v>33</v>
      </c>
      <c r="J20" s="136" t="s">
        <v>38</v>
      </c>
      <c r="K20" s="136" t="s">
        <v>39</v>
      </c>
      <c r="L20" s="117">
        <v>45186</v>
      </c>
      <c r="M20" s="117">
        <v>45188</v>
      </c>
      <c r="N20" s="130">
        <f>(3131.42+375)/2</f>
        <v>1753.21</v>
      </c>
      <c r="O20" s="130">
        <f>(3131.42+375)/2</f>
        <v>1753.21</v>
      </c>
      <c r="P20" s="130">
        <f t="shared" si="0"/>
        <v>3506.42</v>
      </c>
      <c r="Q20" s="79">
        <v>3</v>
      </c>
      <c r="R20" s="118">
        <v>120</v>
      </c>
      <c r="S20" s="79">
        <v>0</v>
      </c>
      <c r="T20" s="118">
        <v>0</v>
      </c>
      <c r="U20" s="70">
        <f t="shared" si="1"/>
        <v>360</v>
      </c>
      <c r="V20" s="70">
        <f t="shared" si="4"/>
        <v>3866.42</v>
      </c>
      <c r="W20" s="70">
        <f t="shared" si="5"/>
        <v>3866.42</v>
      </c>
      <c r="X20" s="79"/>
    </row>
    <row r="21" spans="1:24" s="119" customFormat="1" ht="14.5" x14ac:dyDescent="0.3">
      <c r="A21" s="126" t="s">
        <v>229</v>
      </c>
      <c r="B21" s="126" t="s">
        <v>227</v>
      </c>
      <c r="C21" s="128" t="s">
        <v>168</v>
      </c>
      <c r="D21" s="47">
        <v>127</v>
      </c>
      <c r="E21" s="136" t="s">
        <v>751</v>
      </c>
      <c r="F21" s="136" t="s">
        <v>748</v>
      </c>
      <c r="G21" s="76" t="s">
        <v>31</v>
      </c>
      <c r="H21" s="76" t="s">
        <v>32</v>
      </c>
      <c r="I21" s="76" t="s">
        <v>33</v>
      </c>
      <c r="J21" s="136" t="s">
        <v>32</v>
      </c>
      <c r="K21" s="136" t="s">
        <v>390</v>
      </c>
      <c r="L21" s="117">
        <v>45180</v>
      </c>
      <c r="M21" s="117">
        <v>45181</v>
      </c>
      <c r="N21" s="130">
        <f>2142.13/2</f>
        <v>1071.0650000000001</v>
      </c>
      <c r="O21" s="130">
        <f>2142.13/2</f>
        <v>1071.0650000000001</v>
      </c>
      <c r="P21" s="130">
        <f t="shared" si="0"/>
        <v>2142.13</v>
      </c>
      <c r="Q21" s="79">
        <v>2</v>
      </c>
      <c r="R21" s="118">
        <v>120</v>
      </c>
      <c r="S21" s="79">
        <v>0</v>
      </c>
      <c r="T21" s="118">
        <v>0</v>
      </c>
      <c r="U21" s="70">
        <f t="shared" si="1"/>
        <v>240</v>
      </c>
      <c r="V21" s="70">
        <f t="shared" si="4"/>
        <v>2382.13</v>
      </c>
      <c r="W21" s="70">
        <f t="shared" si="5"/>
        <v>2382.13</v>
      </c>
      <c r="X21" s="79"/>
    </row>
    <row r="22" spans="1:24" s="119" customFormat="1" ht="14.5" x14ac:dyDescent="0.3">
      <c r="A22" s="126" t="s">
        <v>229</v>
      </c>
      <c r="B22" s="126" t="s">
        <v>229</v>
      </c>
      <c r="C22" s="128" t="s">
        <v>698</v>
      </c>
      <c r="D22" s="47">
        <v>0</v>
      </c>
      <c r="E22" s="110" t="s">
        <v>561</v>
      </c>
      <c r="F22" s="136" t="s">
        <v>73</v>
      </c>
      <c r="G22" s="76" t="s">
        <v>31</v>
      </c>
      <c r="H22" s="76" t="s">
        <v>32</v>
      </c>
      <c r="I22" s="76" t="s">
        <v>33</v>
      </c>
      <c r="J22" s="136" t="s">
        <v>462</v>
      </c>
      <c r="K22" s="136" t="s">
        <v>424</v>
      </c>
      <c r="L22" s="117">
        <v>45179</v>
      </c>
      <c r="M22" s="117">
        <v>45180</v>
      </c>
      <c r="N22" s="130">
        <f>5340.73/2</f>
        <v>2670.3649999999998</v>
      </c>
      <c r="O22" s="130">
        <f>5340.73/2</f>
        <v>2670.3649999999998</v>
      </c>
      <c r="P22" s="130">
        <f t="shared" si="0"/>
        <v>5340.73</v>
      </c>
      <c r="Q22" s="79">
        <v>0</v>
      </c>
      <c r="R22" s="118">
        <v>0</v>
      </c>
      <c r="S22" s="79">
        <v>0</v>
      </c>
      <c r="T22" s="118">
        <v>0</v>
      </c>
      <c r="U22" s="70">
        <f t="shared" si="1"/>
        <v>0</v>
      </c>
      <c r="V22" s="70">
        <f t="shared" si="4"/>
        <v>5340.73</v>
      </c>
      <c r="W22" s="70">
        <f t="shared" si="5"/>
        <v>5340.73</v>
      </c>
      <c r="X22" s="79"/>
    </row>
    <row r="23" spans="1:24" s="119" customFormat="1" ht="14.5" x14ac:dyDescent="0.3">
      <c r="A23" s="126" t="s">
        <v>229</v>
      </c>
      <c r="B23" s="126" t="s">
        <v>229</v>
      </c>
      <c r="C23" s="128" t="s">
        <v>698</v>
      </c>
      <c r="D23" s="47">
        <v>0</v>
      </c>
      <c r="E23" s="110" t="s">
        <v>561</v>
      </c>
      <c r="F23" s="136" t="s">
        <v>749</v>
      </c>
      <c r="G23" s="76" t="s">
        <v>31</v>
      </c>
      <c r="H23" s="76" t="s">
        <v>32</v>
      </c>
      <c r="I23" s="76" t="s">
        <v>33</v>
      </c>
      <c r="J23" s="136" t="s">
        <v>139</v>
      </c>
      <c r="K23" s="136" t="s">
        <v>140</v>
      </c>
      <c r="L23" s="117">
        <v>45196</v>
      </c>
      <c r="M23" s="117">
        <v>45198</v>
      </c>
      <c r="N23" s="130">
        <f>1084.7/2</f>
        <v>542.35</v>
      </c>
      <c r="O23" s="130">
        <f>1084.7/2</f>
        <v>542.35</v>
      </c>
      <c r="P23" s="130">
        <f t="shared" si="0"/>
        <v>1084.7</v>
      </c>
      <c r="Q23" s="79">
        <v>0</v>
      </c>
      <c r="R23" s="118">
        <v>0</v>
      </c>
      <c r="S23" s="79">
        <v>0</v>
      </c>
      <c r="T23" s="118">
        <v>0</v>
      </c>
      <c r="U23" s="70">
        <f t="shared" si="1"/>
        <v>0</v>
      </c>
      <c r="V23" s="70">
        <f t="shared" si="4"/>
        <v>1084.7</v>
      </c>
      <c r="W23" s="70">
        <f t="shared" si="5"/>
        <v>1084.7</v>
      </c>
      <c r="X23" s="79"/>
    </row>
    <row r="24" spans="1:24" s="119" customFormat="1" ht="14.5" x14ac:dyDescent="0.3">
      <c r="A24" s="126" t="s">
        <v>372</v>
      </c>
      <c r="B24" s="126" t="s">
        <v>372</v>
      </c>
      <c r="C24" s="128" t="s">
        <v>75</v>
      </c>
      <c r="D24" s="47">
        <v>0</v>
      </c>
      <c r="E24" s="133" t="s">
        <v>88</v>
      </c>
      <c r="F24" s="136" t="s">
        <v>161</v>
      </c>
      <c r="G24" s="76" t="s">
        <v>31</v>
      </c>
      <c r="H24" s="76" t="s">
        <v>32</v>
      </c>
      <c r="I24" s="76" t="s">
        <v>33</v>
      </c>
      <c r="J24" s="136" t="s">
        <v>38</v>
      </c>
      <c r="K24" s="136" t="s">
        <v>39</v>
      </c>
      <c r="L24" s="117">
        <v>45188</v>
      </c>
      <c r="M24" s="117">
        <v>45189</v>
      </c>
      <c r="N24" s="130">
        <f>2870.29/2</f>
        <v>1435.145</v>
      </c>
      <c r="O24" s="130">
        <f>2870.29/2</f>
        <v>1435.145</v>
      </c>
      <c r="P24" s="130">
        <f t="shared" si="0"/>
        <v>2870.29</v>
      </c>
      <c r="Q24" s="79">
        <v>0</v>
      </c>
      <c r="R24" s="118">
        <v>0</v>
      </c>
      <c r="S24" s="79">
        <v>0</v>
      </c>
      <c r="T24" s="118">
        <v>0</v>
      </c>
      <c r="U24" s="70">
        <f t="shared" si="1"/>
        <v>0</v>
      </c>
      <c r="V24" s="70">
        <f t="shared" si="4"/>
        <v>2870.29</v>
      </c>
      <c r="W24" s="70">
        <f t="shared" si="5"/>
        <v>2870.29</v>
      </c>
      <c r="X24" s="79"/>
    </row>
    <row r="25" spans="1:24" ht="14.25" customHeight="1" x14ac:dyDescent="0.3"/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CC16C-A1A5-4194-83FF-62EA7B131125}">
  <dimension ref="A1:X45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92"/>
      <c r="B4" s="392"/>
      <c r="C4" s="392"/>
      <c r="D4" s="392"/>
      <c r="E4" s="392"/>
      <c r="F4" s="392"/>
      <c r="G4" s="392"/>
      <c r="H4" s="10" t="s">
        <v>27</v>
      </c>
      <c r="I4" s="10" t="s">
        <v>28</v>
      </c>
      <c r="J4" s="10" t="s">
        <v>27</v>
      </c>
      <c r="K4" s="11" t="s">
        <v>29</v>
      </c>
      <c r="L4" s="392"/>
      <c r="M4" s="392"/>
      <c r="N4" s="393"/>
      <c r="O4" s="393"/>
      <c r="P4" s="393"/>
      <c r="Q4" s="10" t="s">
        <v>2</v>
      </c>
      <c r="R4" s="11" t="s">
        <v>30</v>
      </c>
      <c r="S4" s="10" t="s">
        <v>2</v>
      </c>
      <c r="T4" s="11" t="s">
        <v>30</v>
      </c>
      <c r="U4" s="392"/>
      <c r="V4" s="393"/>
      <c r="W4" s="394"/>
      <c r="X4" s="391"/>
    </row>
    <row r="5" spans="1:24" s="119" customFormat="1" ht="14.5" x14ac:dyDescent="0.35">
      <c r="A5" s="126" t="s">
        <v>372</v>
      </c>
      <c r="B5" s="139" t="s">
        <v>272</v>
      </c>
      <c r="C5" s="135" t="s">
        <v>752</v>
      </c>
      <c r="D5" s="47">
        <v>384</v>
      </c>
      <c r="E5" s="138" t="s">
        <v>778</v>
      </c>
      <c r="F5" s="138" t="s">
        <v>753</v>
      </c>
      <c r="G5" s="76" t="s">
        <v>31</v>
      </c>
      <c r="H5" s="76" t="s">
        <v>32</v>
      </c>
      <c r="I5" s="76" t="s">
        <v>33</v>
      </c>
      <c r="J5" s="76" t="s">
        <v>111</v>
      </c>
      <c r="K5" s="76" t="s">
        <v>112</v>
      </c>
      <c r="L5" s="117">
        <v>45225</v>
      </c>
      <c r="M5" s="117">
        <v>45226</v>
      </c>
      <c r="N5" s="130">
        <f>1857.25/2</f>
        <v>928.625</v>
      </c>
      <c r="O5" s="130">
        <f>1857.25/2</f>
        <v>928.625</v>
      </c>
      <c r="P5" s="130">
        <f t="shared" ref="P5:P30" si="0">SUM(N5:O5)</f>
        <v>1857.25</v>
      </c>
      <c r="Q5" s="79">
        <v>2</v>
      </c>
      <c r="R5" s="118">
        <v>120</v>
      </c>
      <c r="S5" s="79">
        <v>0</v>
      </c>
      <c r="T5" s="118">
        <v>0</v>
      </c>
      <c r="U5" s="70">
        <f t="shared" ref="U5:U30" si="1">Q5*R5+S5*T5</f>
        <v>240</v>
      </c>
      <c r="V5" s="70">
        <f t="shared" ref="V5:V25" si="2">P5+U5</f>
        <v>2097.25</v>
      </c>
      <c r="W5" s="70">
        <f t="shared" ref="W5:W25" si="3">V5</f>
        <v>2097.25</v>
      </c>
      <c r="X5" s="79"/>
    </row>
    <row r="6" spans="1:24" s="119" customFormat="1" ht="14.5" x14ac:dyDescent="0.35">
      <c r="A6" s="126" t="s">
        <v>250</v>
      </c>
      <c r="B6" s="139" t="s">
        <v>289</v>
      </c>
      <c r="C6" s="135" t="s">
        <v>642</v>
      </c>
      <c r="D6" s="47">
        <v>252</v>
      </c>
      <c r="E6" s="142" t="s">
        <v>779</v>
      </c>
      <c r="F6" s="138" t="s">
        <v>777</v>
      </c>
      <c r="G6" s="76" t="s">
        <v>31</v>
      </c>
      <c r="H6" s="76" t="s">
        <v>32</v>
      </c>
      <c r="I6" s="76" t="s">
        <v>33</v>
      </c>
      <c r="J6" s="138" t="s">
        <v>32</v>
      </c>
      <c r="K6" s="138" t="s">
        <v>390</v>
      </c>
      <c r="L6" s="117">
        <v>45198</v>
      </c>
      <c r="M6" s="117">
        <v>45215</v>
      </c>
      <c r="N6" s="130">
        <f>1941.13/2</f>
        <v>970.56500000000005</v>
      </c>
      <c r="O6" s="130">
        <f>1941.13/2</f>
        <v>970.56500000000005</v>
      </c>
      <c r="P6" s="130">
        <f t="shared" si="0"/>
        <v>1941.13</v>
      </c>
      <c r="Q6" s="79">
        <v>18</v>
      </c>
      <c r="R6" s="118">
        <v>120</v>
      </c>
      <c r="S6" s="79">
        <v>0</v>
      </c>
      <c r="T6" s="118">
        <v>0</v>
      </c>
      <c r="U6" s="70">
        <f t="shared" ref="U6" si="4">Q6*R6+S6*T6</f>
        <v>2160</v>
      </c>
      <c r="V6" s="70">
        <f t="shared" ref="V6" si="5">P6+U6</f>
        <v>4101.13</v>
      </c>
      <c r="W6" s="70">
        <f t="shared" ref="W6" si="6">V6</f>
        <v>4101.13</v>
      </c>
      <c r="X6" s="79"/>
    </row>
    <row r="7" spans="1:24" s="119" customFormat="1" ht="29" x14ac:dyDescent="0.35">
      <c r="A7" s="146" t="s">
        <v>372</v>
      </c>
      <c r="B7" s="139" t="s">
        <v>238</v>
      </c>
      <c r="C7" s="135" t="s">
        <v>135</v>
      </c>
      <c r="D7" s="47">
        <v>230</v>
      </c>
      <c r="E7" s="131" t="s">
        <v>710</v>
      </c>
      <c r="F7" s="142" t="s">
        <v>775</v>
      </c>
      <c r="G7" s="76" t="s">
        <v>31</v>
      </c>
      <c r="H7" s="76" t="s">
        <v>32</v>
      </c>
      <c r="I7" s="76" t="s">
        <v>33</v>
      </c>
      <c r="J7" s="138" t="s">
        <v>121</v>
      </c>
      <c r="K7" s="138" t="s">
        <v>62</v>
      </c>
      <c r="L7" s="117">
        <v>45216</v>
      </c>
      <c r="M7" s="117">
        <v>45219</v>
      </c>
      <c r="N7" s="130">
        <f>2164.49/2</f>
        <v>1082.2449999999999</v>
      </c>
      <c r="O7" s="130">
        <f>2164.49/2</f>
        <v>1082.2449999999999</v>
      </c>
      <c r="P7" s="130">
        <f t="shared" si="0"/>
        <v>2164.4899999999998</v>
      </c>
      <c r="Q7" s="79">
        <v>4</v>
      </c>
      <c r="R7" s="118">
        <v>120</v>
      </c>
      <c r="S7" s="79">
        <v>0</v>
      </c>
      <c r="T7" s="118">
        <v>0</v>
      </c>
      <c r="U7" s="70">
        <f t="shared" ref="U7" si="7">Q7*R7+S7*T7</f>
        <v>480</v>
      </c>
      <c r="V7" s="70">
        <f t="shared" ref="V7" si="8">P7+U7</f>
        <v>2644.49</v>
      </c>
      <c r="W7" s="70">
        <f t="shared" ref="W7" si="9">V7</f>
        <v>2644.49</v>
      </c>
      <c r="X7" s="79"/>
    </row>
    <row r="8" spans="1:24" s="119" customFormat="1" ht="14.5" x14ac:dyDescent="0.35">
      <c r="A8" s="126" t="s">
        <v>372</v>
      </c>
      <c r="B8" s="139" t="s">
        <v>238</v>
      </c>
      <c r="C8" s="128" t="s">
        <v>471</v>
      </c>
      <c r="D8" s="47">
        <v>280</v>
      </c>
      <c r="E8" s="138" t="s">
        <v>780</v>
      </c>
      <c r="F8" s="138" t="s">
        <v>753</v>
      </c>
      <c r="G8" s="76" t="s">
        <v>31</v>
      </c>
      <c r="H8" s="76" t="s">
        <v>32</v>
      </c>
      <c r="I8" s="76" t="s">
        <v>33</v>
      </c>
      <c r="J8" s="76" t="s">
        <v>111</v>
      </c>
      <c r="K8" s="76" t="s">
        <v>112</v>
      </c>
      <c r="L8" s="117">
        <v>45225</v>
      </c>
      <c r="M8" s="117">
        <v>45226</v>
      </c>
      <c r="N8" s="130">
        <f>1816.7/2</f>
        <v>908.35</v>
      </c>
      <c r="O8" s="130">
        <f>1816.7/2</f>
        <v>908.35</v>
      </c>
      <c r="P8" s="130">
        <f t="shared" si="0"/>
        <v>1816.7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2056.6999999999998</v>
      </c>
      <c r="W8" s="70">
        <f t="shared" si="3"/>
        <v>2056.6999999999998</v>
      </c>
      <c r="X8" s="79"/>
    </row>
    <row r="9" spans="1:24" s="119" customFormat="1" ht="14.5" x14ac:dyDescent="0.3">
      <c r="A9" s="126" t="s">
        <v>250</v>
      </c>
      <c r="B9" s="126" t="s">
        <v>322</v>
      </c>
      <c r="C9" s="128" t="s">
        <v>323</v>
      </c>
      <c r="D9" s="47">
        <v>87</v>
      </c>
      <c r="E9" s="138" t="s">
        <v>329</v>
      </c>
      <c r="F9" s="138" t="s">
        <v>756</v>
      </c>
      <c r="G9" s="76" t="s">
        <v>31</v>
      </c>
      <c r="H9" s="76" t="s">
        <v>32</v>
      </c>
      <c r="I9" s="76" t="s">
        <v>33</v>
      </c>
      <c r="J9" s="76" t="s">
        <v>111</v>
      </c>
      <c r="K9" s="76" t="s">
        <v>112</v>
      </c>
      <c r="L9" s="117">
        <v>45218</v>
      </c>
      <c r="M9" s="117">
        <v>45219</v>
      </c>
      <c r="N9" s="130">
        <f>2022.63/2</f>
        <v>1011.3150000000001</v>
      </c>
      <c r="O9" s="130">
        <f>2022.63/2</f>
        <v>1011.3150000000001</v>
      </c>
      <c r="P9" s="130">
        <f t="shared" si="0"/>
        <v>2022.63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2262.63</v>
      </c>
      <c r="W9" s="70">
        <f t="shared" si="3"/>
        <v>2262.63</v>
      </c>
      <c r="X9" s="79"/>
    </row>
    <row r="10" spans="1:24" s="119" customFormat="1" ht="14.5" x14ac:dyDescent="0.3">
      <c r="A10" s="126" t="s">
        <v>250</v>
      </c>
      <c r="B10" s="126" t="s">
        <v>322</v>
      </c>
      <c r="C10" s="138" t="s">
        <v>754</v>
      </c>
      <c r="D10" s="47">
        <v>397</v>
      </c>
      <c r="E10" s="138" t="s">
        <v>781</v>
      </c>
      <c r="F10" s="136" t="s">
        <v>756</v>
      </c>
      <c r="G10" s="76" t="s">
        <v>31</v>
      </c>
      <c r="H10" s="76" t="s">
        <v>32</v>
      </c>
      <c r="I10" s="76" t="s">
        <v>33</v>
      </c>
      <c r="J10" s="76" t="s">
        <v>111</v>
      </c>
      <c r="K10" s="76" t="s">
        <v>112</v>
      </c>
      <c r="L10" s="117">
        <v>45218</v>
      </c>
      <c r="M10" s="117">
        <v>45219</v>
      </c>
      <c r="N10" s="130">
        <f t="shared" ref="N10:O11" si="10">2022.63/2</f>
        <v>1011.3150000000001</v>
      </c>
      <c r="O10" s="130">
        <f t="shared" si="10"/>
        <v>1011.3150000000001</v>
      </c>
      <c r="P10" s="130">
        <f t="shared" si="0"/>
        <v>2022.63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2262.63</v>
      </c>
      <c r="W10" s="70">
        <f t="shared" si="3"/>
        <v>2262.63</v>
      </c>
      <c r="X10" s="79"/>
    </row>
    <row r="11" spans="1:24" s="119" customFormat="1" ht="14.5" x14ac:dyDescent="0.3">
      <c r="A11" s="126" t="s">
        <v>250</v>
      </c>
      <c r="B11" s="126" t="s">
        <v>322</v>
      </c>
      <c r="C11" s="138" t="s">
        <v>755</v>
      </c>
      <c r="D11" s="47">
        <v>324</v>
      </c>
      <c r="E11" s="138" t="s">
        <v>782</v>
      </c>
      <c r="F11" s="136" t="s">
        <v>756</v>
      </c>
      <c r="G11" s="76" t="s">
        <v>31</v>
      </c>
      <c r="H11" s="76" t="s">
        <v>32</v>
      </c>
      <c r="I11" s="76" t="s">
        <v>33</v>
      </c>
      <c r="J11" s="76" t="s">
        <v>111</v>
      </c>
      <c r="K11" s="76" t="s">
        <v>112</v>
      </c>
      <c r="L11" s="117">
        <v>45218</v>
      </c>
      <c r="M11" s="117">
        <v>45219</v>
      </c>
      <c r="N11" s="130">
        <f t="shared" si="10"/>
        <v>1011.3150000000001</v>
      </c>
      <c r="O11" s="130">
        <f t="shared" si="10"/>
        <v>1011.3150000000001</v>
      </c>
      <c r="P11" s="130">
        <f t="shared" si="0"/>
        <v>2022.63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2"/>
        <v>2262.63</v>
      </c>
      <c r="W11" s="70">
        <f t="shared" si="3"/>
        <v>2262.63</v>
      </c>
      <c r="X11" s="79"/>
    </row>
    <row r="12" spans="1:24" s="119" customFormat="1" ht="14.5" x14ac:dyDescent="0.3">
      <c r="A12" s="126" t="s">
        <v>229</v>
      </c>
      <c r="B12" s="126" t="s">
        <v>759</v>
      </c>
      <c r="C12" s="128" t="s">
        <v>729</v>
      </c>
      <c r="D12" s="47">
        <v>390</v>
      </c>
      <c r="E12" s="138" t="s">
        <v>783</v>
      </c>
      <c r="F12" s="138" t="s">
        <v>760</v>
      </c>
      <c r="G12" s="76" t="s">
        <v>31</v>
      </c>
      <c r="H12" s="76" t="s">
        <v>32</v>
      </c>
      <c r="I12" s="76" t="s">
        <v>33</v>
      </c>
      <c r="J12" s="138" t="s">
        <v>111</v>
      </c>
      <c r="K12" s="136" t="s">
        <v>758</v>
      </c>
      <c r="L12" s="117">
        <v>45224</v>
      </c>
      <c r="M12" s="117">
        <v>45226</v>
      </c>
      <c r="N12" s="130">
        <f>2436.85/2</f>
        <v>1218.425</v>
      </c>
      <c r="O12" s="130">
        <f>2436.85/2</f>
        <v>1218.425</v>
      </c>
      <c r="P12" s="130">
        <f t="shared" si="0"/>
        <v>2436.85</v>
      </c>
      <c r="Q12" s="79">
        <v>3</v>
      </c>
      <c r="R12" s="118">
        <v>120</v>
      </c>
      <c r="S12" s="79">
        <v>0</v>
      </c>
      <c r="T12" s="118">
        <v>0</v>
      </c>
      <c r="U12" s="70">
        <f t="shared" si="1"/>
        <v>360</v>
      </c>
      <c r="V12" s="70">
        <f t="shared" si="2"/>
        <v>2796.85</v>
      </c>
      <c r="W12" s="70">
        <f t="shared" si="3"/>
        <v>2796.85</v>
      </c>
      <c r="X12" s="79"/>
    </row>
    <row r="13" spans="1:24" s="119" customFormat="1" ht="14.5" x14ac:dyDescent="0.3">
      <c r="A13" s="126" t="s">
        <v>229</v>
      </c>
      <c r="B13" s="126" t="s">
        <v>229</v>
      </c>
      <c r="C13" s="128" t="s">
        <v>757</v>
      </c>
      <c r="D13" s="47">
        <v>392</v>
      </c>
      <c r="E13" s="138" t="s">
        <v>784</v>
      </c>
      <c r="F13" s="138" t="s">
        <v>760</v>
      </c>
      <c r="G13" s="76" t="s">
        <v>31</v>
      </c>
      <c r="H13" s="76" t="s">
        <v>32</v>
      </c>
      <c r="I13" s="76" t="s">
        <v>33</v>
      </c>
      <c r="J13" s="138" t="s">
        <v>111</v>
      </c>
      <c r="K13" s="136" t="s">
        <v>758</v>
      </c>
      <c r="L13" s="117">
        <v>45224</v>
      </c>
      <c r="M13" s="117">
        <v>45226</v>
      </c>
      <c r="N13" s="130">
        <f>2785.85/2</f>
        <v>1392.925</v>
      </c>
      <c r="O13" s="130">
        <f>2785.85/2</f>
        <v>1392.925</v>
      </c>
      <c r="P13" s="130">
        <f t="shared" si="0"/>
        <v>2785.85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1"/>
        <v>360</v>
      </c>
      <c r="V13" s="70">
        <f t="shared" si="2"/>
        <v>3145.85</v>
      </c>
      <c r="W13" s="70">
        <f t="shared" si="3"/>
        <v>3145.85</v>
      </c>
      <c r="X13" s="79"/>
    </row>
    <row r="14" spans="1:24" s="119" customFormat="1" ht="14.5" x14ac:dyDescent="0.3">
      <c r="A14" s="126" t="s">
        <v>229</v>
      </c>
      <c r="B14" s="138" t="s">
        <v>227</v>
      </c>
      <c r="C14" s="128" t="s">
        <v>646</v>
      </c>
      <c r="D14" s="47">
        <v>343</v>
      </c>
      <c r="E14" s="138" t="s">
        <v>785</v>
      </c>
      <c r="F14" s="136" t="s">
        <v>761</v>
      </c>
      <c r="G14" s="76" t="s">
        <v>31</v>
      </c>
      <c r="H14" s="76" t="s">
        <v>32</v>
      </c>
      <c r="I14" s="76" t="s">
        <v>33</v>
      </c>
      <c r="J14" s="138" t="s">
        <v>32</v>
      </c>
      <c r="K14" s="138" t="s">
        <v>390</v>
      </c>
      <c r="L14" s="117">
        <v>45224</v>
      </c>
      <c r="M14" s="117">
        <v>45226</v>
      </c>
      <c r="N14" s="130">
        <f>1941.13/2</f>
        <v>970.56500000000005</v>
      </c>
      <c r="O14" s="130">
        <f>1941.13/2</f>
        <v>970.56500000000005</v>
      </c>
      <c r="P14" s="130">
        <f t="shared" si="0"/>
        <v>1941.13</v>
      </c>
      <c r="Q14" s="79">
        <v>3</v>
      </c>
      <c r="R14" s="118">
        <v>120</v>
      </c>
      <c r="S14" s="79">
        <v>0</v>
      </c>
      <c r="T14" s="118">
        <v>0</v>
      </c>
      <c r="U14" s="70">
        <f t="shared" si="1"/>
        <v>360</v>
      </c>
      <c r="V14" s="70">
        <f t="shared" si="2"/>
        <v>2301.13</v>
      </c>
      <c r="W14" s="70">
        <f t="shared" si="3"/>
        <v>2301.13</v>
      </c>
      <c r="X14" s="79"/>
    </row>
    <row r="15" spans="1:24" s="119" customFormat="1" ht="14.5" x14ac:dyDescent="0.3">
      <c r="A15" s="126" t="s">
        <v>229</v>
      </c>
      <c r="B15" s="138" t="s">
        <v>227</v>
      </c>
      <c r="C15" s="128" t="s">
        <v>64</v>
      </c>
      <c r="D15" s="47">
        <v>195</v>
      </c>
      <c r="E15" s="138" t="s">
        <v>785</v>
      </c>
      <c r="F15" s="136" t="s">
        <v>761</v>
      </c>
      <c r="G15" s="76" t="s">
        <v>31</v>
      </c>
      <c r="H15" s="76" t="s">
        <v>32</v>
      </c>
      <c r="I15" s="76" t="s">
        <v>33</v>
      </c>
      <c r="J15" s="138" t="s">
        <v>32</v>
      </c>
      <c r="K15" s="138" t="s">
        <v>390</v>
      </c>
      <c r="L15" s="117">
        <v>45224</v>
      </c>
      <c r="M15" s="117">
        <v>45226</v>
      </c>
      <c r="N15" s="130">
        <f>1941.13/2</f>
        <v>970.56500000000005</v>
      </c>
      <c r="O15" s="130">
        <f>1941.13/2</f>
        <v>970.56500000000005</v>
      </c>
      <c r="P15" s="130">
        <f t="shared" si="0"/>
        <v>1941.13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"/>
        <v>360</v>
      </c>
      <c r="V15" s="70">
        <f t="shared" si="2"/>
        <v>2301.13</v>
      </c>
      <c r="W15" s="70">
        <f t="shared" si="3"/>
        <v>2301.13</v>
      </c>
      <c r="X15" s="79"/>
    </row>
    <row r="16" spans="1:24" s="119" customFormat="1" ht="14.5" x14ac:dyDescent="0.3">
      <c r="A16" s="126" t="s">
        <v>229</v>
      </c>
      <c r="B16" s="138" t="s">
        <v>227</v>
      </c>
      <c r="C16" s="128" t="s">
        <v>728</v>
      </c>
      <c r="D16" s="47">
        <v>387</v>
      </c>
      <c r="E16" s="138" t="s">
        <v>262</v>
      </c>
      <c r="F16" s="138" t="s">
        <v>763</v>
      </c>
      <c r="G16" s="76" t="s">
        <v>31</v>
      </c>
      <c r="H16" s="76" t="s">
        <v>32</v>
      </c>
      <c r="I16" s="76" t="s">
        <v>33</v>
      </c>
      <c r="J16" s="138" t="s">
        <v>111</v>
      </c>
      <c r="K16" s="138" t="s">
        <v>112</v>
      </c>
      <c r="L16" s="117">
        <v>45222</v>
      </c>
      <c r="M16" s="117">
        <v>45225</v>
      </c>
      <c r="N16" s="130">
        <f>1816.7/2</f>
        <v>908.35</v>
      </c>
      <c r="O16" s="130">
        <f>1816.7/2</f>
        <v>908.35</v>
      </c>
      <c r="P16" s="130">
        <f t="shared" si="0"/>
        <v>1816.7</v>
      </c>
      <c r="Q16" s="79">
        <v>4</v>
      </c>
      <c r="R16" s="118">
        <v>120</v>
      </c>
      <c r="S16" s="79">
        <v>0</v>
      </c>
      <c r="T16" s="118">
        <v>0</v>
      </c>
      <c r="U16" s="70">
        <f t="shared" si="1"/>
        <v>480</v>
      </c>
      <c r="V16" s="70">
        <f>P16+U16</f>
        <v>2296.6999999999998</v>
      </c>
      <c r="W16" s="70">
        <f t="shared" si="3"/>
        <v>2296.6999999999998</v>
      </c>
      <c r="X16" s="79"/>
    </row>
    <row r="17" spans="1:24" s="119" customFormat="1" ht="14.5" x14ac:dyDescent="0.3">
      <c r="A17" s="126" t="s">
        <v>250</v>
      </c>
      <c r="B17" s="126" t="s">
        <v>250</v>
      </c>
      <c r="C17" s="128" t="s">
        <v>378</v>
      </c>
      <c r="D17" s="47">
        <v>0</v>
      </c>
      <c r="E17" s="125" t="s">
        <v>55</v>
      </c>
      <c r="F17" s="138" t="s">
        <v>760</v>
      </c>
      <c r="G17" s="76" t="s">
        <v>31</v>
      </c>
      <c r="H17" s="76" t="s">
        <v>32</v>
      </c>
      <c r="I17" s="76" t="s">
        <v>33</v>
      </c>
      <c r="J17" s="138" t="s">
        <v>111</v>
      </c>
      <c r="K17" s="136" t="s">
        <v>758</v>
      </c>
      <c r="L17" s="117">
        <v>45224</v>
      </c>
      <c r="M17" s="117">
        <v>45226</v>
      </c>
      <c r="N17" s="130">
        <f>2436.85/2</f>
        <v>1218.425</v>
      </c>
      <c r="O17" s="130">
        <f>2436.85/2</f>
        <v>1218.425</v>
      </c>
      <c r="P17" s="130">
        <f t="shared" si="0"/>
        <v>2436.85</v>
      </c>
      <c r="Q17" s="79">
        <v>0</v>
      </c>
      <c r="R17" s="118">
        <v>120</v>
      </c>
      <c r="S17" s="79">
        <v>0</v>
      </c>
      <c r="T17" s="118">
        <v>0</v>
      </c>
      <c r="U17" s="70">
        <f t="shared" si="1"/>
        <v>0</v>
      </c>
      <c r="V17" s="70">
        <f t="shared" si="2"/>
        <v>2436.85</v>
      </c>
      <c r="W17" s="70">
        <f t="shared" si="3"/>
        <v>2436.85</v>
      </c>
      <c r="X17" s="79"/>
    </row>
    <row r="18" spans="1:24" s="119" customFormat="1" ht="14.5" x14ac:dyDescent="0.3">
      <c r="A18" s="126" t="s">
        <v>250</v>
      </c>
      <c r="B18" s="126" t="s">
        <v>258</v>
      </c>
      <c r="C18" s="128" t="s">
        <v>375</v>
      </c>
      <c r="D18" s="47">
        <v>65</v>
      </c>
      <c r="E18" s="138" t="s">
        <v>786</v>
      </c>
      <c r="F18" s="138" t="s">
        <v>760</v>
      </c>
      <c r="G18" s="76" t="s">
        <v>31</v>
      </c>
      <c r="H18" s="76" t="s">
        <v>32</v>
      </c>
      <c r="I18" s="76" t="s">
        <v>33</v>
      </c>
      <c r="J18" s="138" t="s">
        <v>111</v>
      </c>
      <c r="K18" s="136" t="s">
        <v>758</v>
      </c>
      <c r="L18" s="117">
        <v>45224</v>
      </c>
      <c r="M18" s="117">
        <v>45226</v>
      </c>
      <c r="N18" s="130">
        <f>2436.85/2</f>
        <v>1218.425</v>
      </c>
      <c r="O18" s="130">
        <f>2436.85/2</f>
        <v>1218.425</v>
      </c>
      <c r="P18" s="130">
        <f t="shared" si="0"/>
        <v>2436.85</v>
      </c>
      <c r="Q18" s="79">
        <v>3</v>
      </c>
      <c r="R18" s="118">
        <v>120</v>
      </c>
      <c r="S18" s="79">
        <v>0</v>
      </c>
      <c r="T18" s="118">
        <v>0</v>
      </c>
      <c r="U18" s="70">
        <f t="shared" si="1"/>
        <v>360</v>
      </c>
      <c r="V18" s="70">
        <f t="shared" si="2"/>
        <v>2796.85</v>
      </c>
      <c r="W18" s="70">
        <f t="shared" si="3"/>
        <v>2796.85</v>
      </c>
      <c r="X18" s="79"/>
    </row>
    <row r="19" spans="1:24" s="119" customFormat="1" ht="14.5" x14ac:dyDescent="0.3">
      <c r="A19" s="126" t="s">
        <v>372</v>
      </c>
      <c r="B19" s="126" t="s">
        <v>372</v>
      </c>
      <c r="C19" s="136" t="s">
        <v>75</v>
      </c>
      <c r="D19" s="47">
        <v>0</v>
      </c>
      <c r="E19" s="133" t="s">
        <v>88</v>
      </c>
      <c r="F19" s="136" t="str">
        <f>$E$36</f>
        <v>EVENTO REGULATÓRIO COMMIT/MITSUI - QUANTUM</v>
      </c>
      <c r="G19" s="138" t="s">
        <v>764</v>
      </c>
      <c r="H19" s="76" t="s">
        <v>32</v>
      </c>
      <c r="I19" s="76" t="s">
        <v>33</v>
      </c>
      <c r="J19" s="138"/>
      <c r="K19" s="136" t="s">
        <v>765</v>
      </c>
      <c r="L19" s="117">
        <v>45214</v>
      </c>
      <c r="M19" s="117">
        <v>45220</v>
      </c>
      <c r="N19" s="130">
        <f>4613.64/2</f>
        <v>2306.8200000000002</v>
      </c>
      <c r="O19" s="130">
        <f>4613.64/2</f>
        <v>2306.8200000000002</v>
      </c>
      <c r="P19" s="130">
        <f t="shared" si="0"/>
        <v>4613.6400000000003</v>
      </c>
      <c r="Q19" s="79">
        <v>0</v>
      </c>
      <c r="R19" s="118">
        <v>120</v>
      </c>
      <c r="S19" s="79">
        <v>0</v>
      </c>
      <c r="T19" s="118">
        <v>0</v>
      </c>
      <c r="U19" s="70">
        <f t="shared" si="1"/>
        <v>0</v>
      </c>
      <c r="V19" s="70">
        <f t="shared" si="2"/>
        <v>4613.6400000000003</v>
      </c>
      <c r="W19" s="70">
        <f t="shared" si="3"/>
        <v>4613.6400000000003</v>
      </c>
      <c r="X19" s="79"/>
    </row>
    <row r="20" spans="1:24" s="119" customFormat="1" ht="14.5" x14ac:dyDescent="0.3">
      <c r="A20" s="126" t="s">
        <v>229</v>
      </c>
      <c r="B20" s="135" t="s">
        <v>229</v>
      </c>
      <c r="C20" s="128" t="s">
        <v>698</v>
      </c>
      <c r="D20" s="47">
        <v>0</v>
      </c>
      <c r="E20" s="110" t="s">
        <v>561</v>
      </c>
      <c r="F20" s="136" t="str">
        <f>$E$36</f>
        <v>EVENTO REGULATÓRIO COMMIT/MITSUI - QUANTUM</v>
      </c>
      <c r="G20" s="138" t="s">
        <v>764</v>
      </c>
      <c r="H20" s="76" t="s">
        <v>32</v>
      </c>
      <c r="I20" s="76" t="s">
        <v>33</v>
      </c>
      <c r="J20" s="136"/>
      <c r="K20" s="136" t="s">
        <v>765</v>
      </c>
      <c r="L20" s="117">
        <v>45214</v>
      </c>
      <c r="M20" s="117">
        <v>45220</v>
      </c>
      <c r="N20" s="130">
        <f>6094/2</f>
        <v>3047</v>
      </c>
      <c r="O20" s="130">
        <f>6094/2</f>
        <v>3047</v>
      </c>
      <c r="P20" s="130">
        <f t="shared" si="0"/>
        <v>6094</v>
      </c>
      <c r="Q20" s="79">
        <v>0</v>
      </c>
      <c r="R20" s="118">
        <v>6279.28</v>
      </c>
      <c r="S20" s="79">
        <v>0</v>
      </c>
      <c r="T20" s="118">
        <v>0</v>
      </c>
      <c r="U20" s="70">
        <f>R20</f>
        <v>6279.28</v>
      </c>
      <c r="V20" s="70">
        <f t="shared" si="2"/>
        <v>12373.279999999999</v>
      </c>
      <c r="W20" s="70">
        <f t="shared" si="3"/>
        <v>12373.279999999999</v>
      </c>
      <c r="X20" s="79"/>
    </row>
    <row r="21" spans="1:24" s="119" customFormat="1" ht="14.5" x14ac:dyDescent="0.3">
      <c r="A21" s="126" t="s">
        <v>372</v>
      </c>
      <c r="B21" s="135" t="s">
        <v>372</v>
      </c>
      <c r="C21" s="136" t="s">
        <v>134</v>
      </c>
      <c r="D21" s="47">
        <v>202</v>
      </c>
      <c r="E21" s="128" t="s">
        <v>704</v>
      </c>
      <c r="F21" s="136" t="str">
        <f>$E$36</f>
        <v>EVENTO REGULATÓRIO COMMIT/MITSUI - QUANTUM</v>
      </c>
      <c r="G21" s="138" t="s">
        <v>764</v>
      </c>
      <c r="H21" s="76" t="s">
        <v>32</v>
      </c>
      <c r="I21" s="76" t="s">
        <v>33</v>
      </c>
      <c r="J21" s="136"/>
      <c r="K21" s="136" t="s">
        <v>765</v>
      </c>
      <c r="L21" s="117">
        <v>45214</v>
      </c>
      <c r="M21" s="117">
        <v>45220</v>
      </c>
      <c r="N21" s="130">
        <f>4613.64/2</f>
        <v>2306.8200000000002</v>
      </c>
      <c r="O21" s="130">
        <f>4613.64/2</f>
        <v>2306.8200000000002</v>
      </c>
      <c r="P21" s="130">
        <f t="shared" si="0"/>
        <v>4613.6400000000003</v>
      </c>
      <c r="Q21" s="79">
        <v>0</v>
      </c>
      <c r="R21" s="118">
        <v>120</v>
      </c>
      <c r="S21" s="79">
        <v>0</v>
      </c>
      <c r="T21" s="118">
        <v>0</v>
      </c>
      <c r="U21" s="70">
        <f t="shared" si="1"/>
        <v>0</v>
      </c>
      <c r="V21" s="70">
        <f t="shared" si="2"/>
        <v>4613.6400000000003</v>
      </c>
      <c r="W21" s="70">
        <f t="shared" si="3"/>
        <v>4613.6400000000003</v>
      </c>
      <c r="X21" s="79"/>
    </row>
    <row r="22" spans="1:24" s="119" customFormat="1" ht="14.5" x14ac:dyDescent="0.35">
      <c r="A22" s="126" t="s">
        <v>372</v>
      </c>
      <c r="B22" s="137" t="s">
        <v>300</v>
      </c>
      <c r="C22" s="128" t="s">
        <v>293</v>
      </c>
      <c r="D22" s="47">
        <v>61</v>
      </c>
      <c r="E22" s="138" t="s">
        <v>787</v>
      </c>
      <c r="F22" s="138" t="s">
        <v>767</v>
      </c>
      <c r="G22" s="76" t="s">
        <v>31</v>
      </c>
      <c r="H22" s="76" t="s">
        <v>32</v>
      </c>
      <c r="I22" s="76" t="s">
        <v>33</v>
      </c>
      <c r="J22" s="138" t="s">
        <v>38</v>
      </c>
      <c r="K22" s="138" t="s">
        <v>39</v>
      </c>
      <c r="L22" s="117">
        <v>45216</v>
      </c>
      <c r="M22" s="117">
        <v>45217</v>
      </c>
      <c r="N22" s="130">
        <f>2054.92/2</f>
        <v>1027.46</v>
      </c>
      <c r="O22" s="130">
        <f>2054.92/2</f>
        <v>1027.46</v>
      </c>
      <c r="P22" s="130">
        <f t="shared" si="0"/>
        <v>2054.92</v>
      </c>
      <c r="Q22" s="79">
        <v>2</v>
      </c>
      <c r="R22" s="118">
        <v>120</v>
      </c>
      <c r="S22" s="79">
        <v>0</v>
      </c>
      <c r="T22" s="118">
        <v>0</v>
      </c>
      <c r="U22" s="70">
        <f t="shared" si="1"/>
        <v>240</v>
      </c>
      <c r="V22" s="70">
        <f t="shared" si="2"/>
        <v>2294.92</v>
      </c>
      <c r="W22" s="70">
        <f t="shared" si="3"/>
        <v>2294.92</v>
      </c>
      <c r="X22" s="79"/>
    </row>
    <row r="23" spans="1:24" s="119" customFormat="1" ht="14.5" x14ac:dyDescent="0.3">
      <c r="A23" s="126" t="s">
        <v>250</v>
      </c>
      <c r="B23" s="126" t="s">
        <v>250</v>
      </c>
      <c r="C23" s="128" t="s">
        <v>378</v>
      </c>
      <c r="D23" s="47">
        <v>0</v>
      </c>
      <c r="E23" s="125" t="s">
        <v>55</v>
      </c>
      <c r="F23" s="136" t="s">
        <v>768</v>
      </c>
      <c r="G23" s="76" t="s">
        <v>31</v>
      </c>
      <c r="H23" s="76" t="s">
        <v>32</v>
      </c>
      <c r="I23" s="76" t="s">
        <v>33</v>
      </c>
      <c r="J23" s="138" t="s">
        <v>38</v>
      </c>
      <c r="K23" s="138" t="s">
        <v>39</v>
      </c>
      <c r="L23" s="117">
        <v>45221</v>
      </c>
      <c r="M23" s="117">
        <v>45224</v>
      </c>
      <c r="N23" s="130">
        <f>(1632.83+2870.29)/2</f>
        <v>2251.56</v>
      </c>
      <c r="O23" s="130">
        <f>(1632.83+2870.29)/2</f>
        <v>2251.56</v>
      </c>
      <c r="P23" s="130">
        <f t="shared" si="0"/>
        <v>4503.12</v>
      </c>
      <c r="Q23" s="79">
        <v>0</v>
      </c>
      <c r="R23" s="118">
        <v>120</v>
      </c>
      <c r="S23" s="79">
        <v>0</v>
      </c>
      <c r="T23" s="118">
        <v>0</v>
      </c>
      <c r="U23" s="70">
        <f t="shared" si="1"/>
        <v>0</v>
      </c>
      <c r="V23" s="70">
        <f t="shared" si="2"/>
        <v>4503.12</v>
      </c>
      <c r="W23" s="70">
        <f t="shared" si="3"/>
        <v>4503.12</v>
      </c>
      <c r="X23" s="79"/>
    </row>
    <row r="24" spans="1:24" s="119" customFormat="1" ht="29" x14ac:dyDescent="0.3">
      <c r="A24" s="126" t="s">
        <v>229</v>
      </c>
      <c r="B24" s="135" t="s">
        <v>229</v>
      </c>
      <c r="C24" s="128" t="s">
        <v>698</v>
      </c>
      <c r="D24" s="47">
        <v>0</v>
      </c>
      <c r="E24" s="110" t="s">
        <v>561</v>
      </c>
      <c r="F24" s="141" t="s">
        <v>770</v>
      </c>
      <c r="G24" s="76" t="s">
        <v>31</v>
      </c>
      <c r="H24" s="76" t="s">
        <v>32</v>
      </c>
      <c r="I24" s="76" t="s">
        <v>33</v>
      </c>
      <c r="J24" s="138" t="s">
        <v>121</v>
      </c>
      <c r="K24" s="138" t="s">
        <v>62</v>
      </c>
      <c r="L24" s="117">
        <v>45222</v>
      </c>
      <c r="M24" s="117">
        <v>45224</v>
      </c>
      <c r="N24" s="130">
        <f>2210.74/2</f>
        <v>1105.3699999999999</v>
      </c>
      <c r="O24" s="130">
        <f>2210.74/2</f>
        <v>1105.3699999999999</v>
      </c>
      <c r="P24" s="130">
        <f t="shared" si="0"/>
        <v>2210.7399999999998</v>
      </c>
      <c r="Q24" s="79">
        <v>0</v>
      </c>
      <c r="R24" s="118">
        <v>120</v>
      </c>
      <c r="S24" s="79">
        <v>0</v>
      </c>
      <c r="T24" s="118">
        <v>0</v>
      </c>
      <c r="U24" s="70">
        <f t="shared" si="1"/>
        <v>0</v>
      </c>
      <c r="V24" s="70">
        <f t="shared" si="2"/>
        <v>2210.7399999999998</v>
      </c>
      <c r="W24" s="70">
        <f t="shared" si="3"/>
        <v>2210.7399999999998</v>
      </c>
      <c r="X24" s="79"/>
    </row>
    <row r="25" spans="1:24" s="119" customFormat="1" ht="14.5" x14ac:dyDescent="0.3">
      <c r="A25" s="126" t="s">
        <v>250</v>
      </c>
      <c r="B25" s="126" t="s">
        <v>212</v>
      </c>
      <c r="C25" s="128" t="s">
        <v>539</v>
      </c>
      <c r="D25" s="47">
        <v>159</v>
      </c>
      <c r="E25" s="138" t="s">
        <v>549</v>
      </c>
      <c r="F25" s="136" t="s">
        <v>771</v>
      </c>
      <c r="G25" s="76" t="s">
        <v>31</v>
      </c>
      <c r="H25" s="76" t="s">
        <v>32</v>
      </c>
      <c r="I25" s="76" t="s">
        <v>33</v>
      </c>
      <c r="J25" s="138" t="s">
        <v>121</v>
      </c>
      <c r="K25" s="138" t="s">
        <v>413</v>
      </c>
      <c r="L25" s="117">
        <v>45223</v>
      </c>
      <c r="M25" s="117">
        <v>45224</v>
      </c>
      <c r="N25" s="130">
        <f>3615.39/2</f>
        <v>1807.6949999999999</v>
      </c>
      <c r="O25" s="130">
        <f>3615.39/2</f>
        <v>1807.6949999999999</v>
      </c>
      <c r="P25" s="130">
        <f t="shared" si="0"/>
        <v>3615.39</v>
      </c>
      <c r="Q25" s="79">
        <v>2</v>
      </c>
      <c r="R25" s="118">
        <v>120</v>
      </c>
      <c r="S25" s="79">
        <v>0</v>
      </c>
      <c r="T25" s="118">
        <v>0</v>
      </c>
      <c r="U25" s="70">
        <f t="shared" si="1"/>
        <v>240</v>
      </c>
      <c r="V25" s="70">
        <f t="shared" si="2"/>
        <v>3855.39</v>
      </c>
      <c r="W25" s="70">
        <f t="shared" si="3"/>
        <v>3855.39</v>
      </c>
      <c r="X25" s="79"/>
    </row>
    <row r="26" spans="1:24" s="119" customFormat="1" ht="14.5" x14ac:dyDescent="0.3">
      <c r="A26" s="126" t="s">
        <v>229</v>
      </c>
      <c r="B26" s="135" t="s">
        <v>229</v>
      </c>
      <c r="C26" s="128" t="s">
        <v>698</v>
      </c>
      <c r="D26" s="47">
        <v>0</v>
      </c>
      <c r="E26" s="110" t="s">
        <v>561</v>
      </c>
      <c r="F26" s="138" t="s">
        <v>760</v>
      </c>
      <c r="G26" s="76" t="s">
        <v>31</v>
      </c>
      <c r="H26" s="76" t="s">
        <v>32</v>
      </c>
      <c r="I26" s="76" t="s">
        <v>33</v>
      </c>
      <c r="J26" s="138" t="s">
        <v>32</v>
      </c>
      <c r="K26" s="138" t="s">
        <v>772</v>
      </c>
      <c r="L26" s="117">
        <v>45224</v>
      </c>
      <c r="M26" s="117">
        <v>45226</v>
      </c>
      <c r="N26" s="130">
        <f>1951.84/2</f>
        <v>975.92</v>
      </c>
      <c r="O26" s="130">
        <f>1951.84/2</f>
        <v>975.92</v>
      </c>
      <c r="P26" s="130">
        <f t="shared" si="0"/>
        <v>1951.84</v>
      </c>
      <c r="Q26" s="79">
        <v>0</v>
      </c>
      <c r="R26" s="118">
        <v>120</v>
      </c>
      <c r="S26" s="79">
        <v>0</v>
      </c>
      <c r="T26" s="118">
        <v>0</v>
      </c>
      <c r="U26" s="70">
        <f t="shared" si="1"/>
        <v>0</v>
      </c>
      <c r="V26" s="70">
        <f t="shared" ref="V26:V30" si="11">P26+U26</f>
        <v>1951.84</v>
      </c>
      <c r="W26" s="70">
        <f t="shared" ref="W26:W30" si="12">V26</f>
        <v>1951.84</v>
      </c>
      <c r="X26" s="79"/>
    </row>
    <row r="27" spans="1:24" s="119" customFormat="1" ht="14.5" x14ac:dyDescent="0.3">
      <c r="A27" s="126" t="s">
        <v>229</v>
      </c>
      <c r="B27" s="126" t="s">
        <v>239</v>
      </c>
      <c r="C27" s="128" t="s">
        <v>697</v>
      </c>
      <c r="D27" s="47">
        <v>394</v>
      </c>
      <c r="E27" s="138" t="s">
        <v>705</v>
      </c>
      <c r="F27" s="138" t="s">
        <v>776</v>
      </c>
      <c r="G27" s="76" t="s">
        <v>31</v>
      </c>
      <c r="H27" s="76" t="s">
        <v>32</v>
      </c>
      <c r="I27" s="76" t="s">
        <v>33</v>
      </c>
      <c r="J27" s="138" t="s">
        <v>121</v>
      </c>
      <c r="K27" s="138" t="s">
        <v>62</v>
      </c>
      <c r="L27" s="117">
        <v>45223</v>
      </c>
      <c r="M27" s="117">
        <v>45225</v>
      </c>
      <c r="N27" s="130">
        <f>925.58/2</f>
        <v>462.79</v>
      </c>
      <c r="O27" s="130">
        <f>925.58/2</f>
        <v>462.79</v>
      </c>
      <c r="P27" s="130">
        <f t="shared" si="0"/>
        <v>925.58</v>
      </c>
      <c r="Q27" s="79">
        <v>4</v>
      </c>
      <c r="R27" s="118">
        <v>120</v>
      </c>
      <c r="S27" s="79">
        <v>0</v>
      </c>
      <c r="T27" s="118">
        <v>0</v>
      </c>
      <c r="U27" s="70">
        <f t="shared" ref="U27" si="13">Q27*R27+S27*T27</f>
        <v>480</v>
      </c>
      <c r="V27" s="70">
        <f t="shared" ref="V27" si="14">P27+U27</f>
        <v>1405.58</v>
      </c>
      <c r="W27" s="70">
        <f t="shared" ref="W27" si="15">V27</f>
        <v>1405.58</v>
      </c>
      <c r="X27" s="79"/>
    </row>
    <row r="28" spans="1:24" s="119" customFormat="1" ht="14.5" x14ac:dyDescent="0.3">
      <c r="A28" s="126" t="s">
        <v>372</v>
      </c>
      <c r="B28" s="126" t="s">
        <v>372</v>
      </c>
      <c r="C28" s="128" t="s">
        <v>134</v>
      </c>
      <c r="D28" s="47">
        <v>202</v>
      </c>
      <c r="E28" s="128" t="s">
        <v>704</v>
      </c>
      <c r="F28" s="136" t="s">
        <v>774</v>
      </c>
      <c r="G28" s="76" t="s">
        <v>31</v>
      </c>
      <c r="H28" s="76" t="s">
        <v>32</v>
      </c>
      <c r="I28" s="76" t="s">
        <v>33</v>
      </c>
      <c r="J28" s="138" t="s">
        <v>38</v>
      </c>
      <c r="K28" s="138" t="s">
        <v>39</v>
      </c>
      <c r="L28" s="117">
        <v>45223</v>
      </c>
      <c r="M28" s="117">
        <v>45226</v>
      </c>
      <c r="N28" s="130">
        <f t="shared" ref="N28:O30" si="16">2170.64/2</f>
        <v>1085.32</v>
      </c>
      <c r="O28" s="130">
        <f t="shared" si="16"/>
        <v>1085.32</v>
      </c>
      <c r="P28" s="130">
        <f t="shared" si="0"/>
        <v>2170.64</v>
      </c>
      <c r="Q28" s="79">
        <v>4</v>
      </c>
      <c r="R28" s="118">
        <v>120</v>
      </c>
      <c r="S28" s="79">
        <v>0</v>
      </c>
      <c r="T28" s="118">
        <v>0</v>
      </c>
      <c r="U28" s="70">
        <f t="shared" si="1"/>
        <v>480</v>
      </c>
      <c r="V28" s="70">
        <f t="shared" si="11"/>
        <v>2650.64</v>
      </c>
      <c r="W28" s="70">
        <f t="shared" si="12"/>
        <v>2650.64</v>
      </c>
      <c r="X28" s="79"/>
    </row>
    <row r="29" spans="1:24" s="119" customFormat="1" ht="14.5" x14ac:dyDescent="0.35">
      <c r="A29" s="126" t="s">
        <v>372</v>
      </c>
      <c r="B29" s="139" t="s">
        <v>238</v>
      </c>
      <c r="C29" s="128" t="s">
        <v>447</v>
      </c>
      <c r="D29" s="47">
        <v>336</v>
      </c>
      <c r="E29" s="138" t="s">
        <v>309</v>
      </c>
      <c r="F29" s="136" t="s">
        <v>774</v>
      </c>
      <c r="G29" s="76" t="s">
        <v>31</v>
      </c>
      <c r="H29" s="76" t="s">
        <v>32</v>
      </c>
      <c r="I29" s="76" t="s">
        <v>33</v>
      </c>
      <c r="J29" s="138" t="s">
        <v>38</v>
      </c>
      <c r="K29" s="138" t="s">
        <v>39</v>
      </c>
      <c r="L29" s="117">
        <v>45223</v>
      </c>
      <c r="M29" s="117">
        <v>45225</v>
      </c>
      <c r="N29" s="130">
        <f t="shared" si="16"/>
        <v>1085.32</v>
      </c>
      <c r="O29" s="130">
        <f t="shared" si="16"/>
        <v>1085.32</v>
      </c>
      <c r="P29" s="130">
        <f t="shared" si="0"/>
        <v>2170.64</v>
      </c>
      <c r="Q29" s="79">
        <v>3</v>
      </c>
      <c r="R29" s="118">
        <v>120</v>
      </c>
      <c r="S29" s="79">
        <v>0</v>
      </c>
      <c r="T29" s="118">
        <v>0</v>
      </c>
      <c r="U29" s="70">
        <f t="shared" si="1"/>
        <v>360</v>
      </c>
      <c r="V29" s="70">
        <f t="shared" si="11"/>
        <v>2530.64</v>
      </c>
      <c r="W29" s="70">
        <f t="shared" si="12"/>
        <v>2530.64</v>
      </c>
      <c r="X29" s="79"/>
    </row>
    <row r="30" spans="1:24" s="119" customFormat="1" ht="14.5" x14ac:dyDescent="0.35">
      <c r="A30" s="126" t="s">
        <v>372</v>
      </c>
      <c r="B30" s="139" t="s">
        <v>238</v>
      </c>
      <c r="C30" s="128" t="s">
        <v>135</v>
      </c>
      <c r="D30" s="47">
        <v>230</v>
      </c>
      <c r="E30" s="131" t="s">
        <v>710</v>
      </c>
      <c r="F30" s="136" t="s">
        <v>774</v>
      </c>
      <c r="G30" s="76" t="s">
        <v>31</v>
      </c>
      <c r="H30" s="76" t="s">
        <v>32</v>
      </c>
      <c r="I30" s="76" t="s">
        <v>33</v>
      </c>
      <c r="J30" s="138" t="s">
        <v>38</v>
      </c>
      <c r="K30" s="138" t="s">
        <v>39</v>
      </c>
      <c r="L30" s="117">
        <v>45223</v>
      </c>
      <c r="M30" s="117">
        <v>45226</v>
      </c>
      <c r="N30" s="130">
        <f t="shared" si="16"/>
        <v>1085.32</v>
      </c>
      <c r="O30" s="130">
        <f t="shared" si="16"/>
        <v>1085.32</v>
      </c>
      <c r="P30" s="130">
        <f t="shared" si="0"/>
        <v>2170.64</v>
      </c>
      <c r="Q30" s="79">
        <v>4</v>
      </c>
      <c r="R30" s="118">
        <v>120</v>
      </c>
      <c r="S30" s="79">
        <v>0</v>
      </c>
      <c r="T30" s="118">
        <v>0</v>
      </c>
      <c r="U30" s="70">
        <f t="shared" si="1"/>
        <v>480</v>
      </c>
      <c r="V30" s="70">
        <f t="shared" si="11"/>
        <v>2650.64</v>
      </c>
      <c r="W30" s="70">
        <f t="shared" si="12"/>
        <v>2650.64</v>
      </c>
      <c r="X30" s="79"/>
    </row>
    <row r="31" spans="1:24" ht="14.25" customHeight="1" x14ac:dyDescent="0.3"/>
    <row r="36" spans="3:6" x14ac:dyDescent="0.3">
      <c r="E36" s="140" t="str">
        <f>UPPER(E45)</f>
        <v>EVENTO REGULATÓRIO COMMIT/MITSUI - QUANTUM</v>
      </c>
    </row>
    <row r="37" spans="3:6" x14ac:dyDescent="0.3">
      <c r="F37" s="140" t="str">
        <f>UPPER(G15)</f>
        <v>NACIONAL</v>
      </c>
    </row>
    <row r="40" spans="3:6" x14ac:dyDescent="0.3">
      <c r="F40" t="s">
        <v>762</v>
      </c>
    </row>
    <row r="41" spans="3:6" x14ac:dyDescent="0.3">
      <c r="C41" t="s">
        <v>769</v>
      </c>
    </row>
    <row r="43" spans="3:6" x14ac:dyDescent="0.3">
      <c r="F43" t="s">
        <v>766</v>
      </c>
    </row>
    <row r="45" spans="3:6" x14ac:dyDescent="0.3">
      <c r="E45" t="s">
        <v>773</v>
      </c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9BA0A-5C68-4F26-9720-1C8F7B9100EE}">
  <dimension ref="A1:X17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92"/>
      <c r="B4" s="392"/>
      <c r="C4" s="392"/>
      <c r="D4" s="392"/>
      <c r="E4" s="392"/>
      <c r="F4" s="392"/>
      <c r="G4" s="392"/>
      <c r="H4" s="10" t="s">
        <v>27</v>
      </c>
      <c r="I4" s="10" t="s">
        <v>28</v>
      </c>
      <c r="J4" s="10" t="s">
        <v>27</v>
      </c>
      <c r="K4" s="11" t="s">
        <v>29</v>
      </c>
      <c r="L4" s="392"/>
      <c r="M4" s="392"/>
      <c r="N4" s="393"/>
      <c r="O4" s="393"/>
      <c r="P4" s="393"/>
      <c r="Q4" s="10" t="s">
        <v>2</v>
      </c>
      <c r="R4" s="11" t="s">
        <v>30</v>
      </c>
      <c r="S4" s="10" t="s">
        <v>2</v>
      </c>
      <c r="T4" s="11" t="s">
        <v>30</v>
      </c>
      <c r="U4" s="392"/>
      <c r="V4" s="393"/>
      <c r="W4" s="394"/>
      <c r="X4" s="391"/>
    </row>
    <row r="5" spans="1:24" s="119" customFormat="1" ht="14.5" x14ac:dyDescent="0.3">
      <c r="A5" s="126" t="s">
        <v>229</v>
      </c>
      <c r="B5" s="126" t="s">
        <v>229</v>
      </c>
      <c r="C5" s="143" t="s">
        <v>698</v>
      </c>
      <c r="D5" s="47">
        <v>0</v>
      </c>
      <c r="E5" s="110" t="s">
        <v>561</v>
      </c>
      <c r="F5" s="143" t="s">
        <v>789</v>
      </c>
      <c r="G5" s="76" t="s">
        <v>31</v>
      </c>
      <c r="H5" s="76" t="s">
        <v>32</v>
      </c>
      <c r="I5" s="76" t="s">
        <v>33</v>
      </c>
      <c r="J5" s="143" t="s">
        <v>61</v>
      </c>
      <c r="K5" s="143" t="s">
        <v>62</v>
      </c>
      <c r="L5" s="117">
        <v>45257</v>
      </c>
      <c r="M5" s="117">
        <v>45260</v>
      </c>
      <c r="N5" s="130">
        <f>2296.41/2</f>
        <v>1148.2049999999999</v>
      </c>
      <c r="O5" s="130">
        <f>2296.41/2</f>
        <v>1148.2049999999999</v>
      </c>
      <c r="P5" s="130">
        <f t="shared" ref="P5:P16" si="0">SUM(N5:O5)</f>
        <v>2296.41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16" si="1">Q5*R5+S5*T5</f>
        <v>0</v>
      </c>
      <c r="V5" s="70">
        <f t="shared" ref="V5:V15" si="2">P5+U5</f>
        <v>2296.41</v>
      </c>
      <c r="W5" s="70">
        <f t="shared" ref="W5:W16" si="3">V5</f>
        <v>2296.41</v>
      </c>
      <c r="X5" s="79"/>
    </row>
    <row r="6" spans="1:24" s="119" customFormat="1" ht="14.5" x14ac:dyDescent="0.35">
      <c r="A6" s="126" t="s">
        <v>229</v>
      </c>
      <c r="B6" s="139" t="s">
        <v>362</v>
      </c>
      <c r="C6" s="135" t="s">
        <v>788</v>
      </c>
      <c r="D6" s="47">
        <v>393</v>
      </c>
      <c r="E6" s="144" t="s">
        <v>796</v>
      </c>
      <c r="F6" s="143" t="s">
        <v>789</v>
      </c>
      <c r="G6" s="76" t="s">
        <v>31</v>
      </c>
      <c r="H6" s="76" t="s">
        <v>32</v>
      </c>
      <c r="I6" s="76" t="s">
        <v>33</v>
      </c>
      <c r="J6" s="143" t="s">
        <v>61</v>
      </c>
      <c r="K6" s="143" t="s">
        <v>62</v>
      </c>
      <c r="L6" s="117">
        <v>45257</v>
      </c>
      <c r="M6" s="117">
        <v>45260</v>
      </c>
      <c r="N6" s="130">
        <f>1979.29/2</f>
        <v>989.64499999999998</v>
      </c>
      <c r="O6" s="130">
        <f>1979.29/2</f>
        <v>989.64499999999998</v>
      </c>
      <c r="P6" s="130">
        <f t="shared" si="0"/>
        <v>1979.29</v>
      </c>
      <c r="Q6" s="79">
        <v>4</v>
      </c>
      <c r="R6" s="118">
        <v>120</v>
      </c>
      <c r="S6" s="79">
        <v>0</v>
      </c>
      <c r="T6" s="118">
        <v>0</v>
      </c>
      <c r="U6" s="70">
        <f t="shared" si="1"/>
        <v>480</v>
      </c>
      <c r="V6" s="70">
        <f t="shared" si="2"/>
        <v>2459.29</v>
      </c>
      <c r="W6" s="70">
        <f t="shared" si="3"/>
        <v>2459.29</v>
      </c>
      <c r="X6" s="79"/>
    </row>
    <row r="7" spans="1:24" s="119" customFormat="1" ht="14.5" x14ac:dyDescent="0.3">
      <c r="A7" s="126" t="s">
        <v>229</v>
      </c>
      <c r="B7" s="126" t="s">
        <v>229</v>
      </c>
      <c r="C7" s="135" t="s">
        <v>698</v>
      </c>
      <c r="D7" s="47">
        <v>0</v>
      </c>
      <c r="E7" s="110" t="s">
        <v>561</v>
      </c>
      <c r="F7" s="144" t="s">
        <v>73</v>
      </c>
      <c r="G7" s="76" t="s">
        <v>31</v>
      </c>
      <c r="H7" s="76" t="s">
        <v>32</v>
      </c>
      <c r="I7" s="76" t="s">
        <v>33</v>
      </c>
      <c r="J7" s="143" t="s">
        <v>61</v>
      </c>
      <c r="K7" s="143" t="s">
        <v>62</v>
      </c>
      <c r="L7" s="117">
        <v>45237</v>
      </c>
      <c r="M7" s="117">
        <v>45241</v>
      </c>
      <c r="N7" s="130">
        <f>3464.21/2</f>
        <v>1732.105</v>
      </c>
      <c r="O7" s="130">
        <f>3464.21/2</f>
        <v>1732.105</v>
      </c>
      <c r="P7" s="130">
        <f t="shared" si="0"/>
        <v>3464.21</v>
      </c>
      <c r="Q7" s="79">
        <v>0</v>
      </c>
      <c r="R7" s="118">
        <v>120</v>
      </c>
      <c r="S7" s="79">
        <v>0</v>
      </c>
      <c r="T7" s="118">
        <v>0</v>
      </c>
      <c r="U7" s="70">
        <f t="shared" si="1"/>
        <v>0</v>
      </c>
      <c r="V7" s="70">
        <f t="shared" si="2"/>
        <v>3464.21</v>
      </c>
      <c r="W7" s="70">
        <f t="shared" si="3"/>
        <v>3464.21</v>
      </c>
      <c r="X7" s="79"/>
    </row>
    <row r="8" spans="1:24" s="119" customFormat="1" ht="14.5" x14ac:dyDescent="0.35">
      <c r="A8" s="126" t="s">
        <v>250</v>
      </c>
      <c r="B8" s="139" t="s">
        <v>250</v>
      </c>
      <c r="C8" s="143" t="s">
        <v>378</v>
      </c>
      <c r="D8" s="47">
        <v>0</v>
      </c>
      <c r="E8" s="125" t="s">
        <v>55</v>
      </c>
      <c r="F8" s="138" t="s">
        <v>790</v>
      </c>
      <c r="G8" s="76" t="s">
        <v>31</v>
      </c>
      <c r="H8" s="76" t="s">
        <v>32</v>
      </c>
      <c r="I8" s="76" t="s">
        <v>33</v>
      </c>
      <c r="J8" s="143" t="s">
        <v>61</v>
      </c>
      <c r="K8" s="143" t="s">
        <v>62</v>
      </c>
      <c r="L8" s="117">
        <v>45258</v>
      </c>
      <c r="M8" s="117">
        <v>45259</v>
      </c>
      <c r="N8" s="130">
        <f>4699.52/2</f>
        <v>2349.7600000000002</v>
      </c>
      <c r="O8" s="130">
        <f>4699.52/2</f>
        <v>2349.7600000000002</v>
      </c>
      <c r="P8" s="130">
        <f t="shared" si="0"/>
        <v>4699.5200000000004</v>
      </c>
      <c r="Q8" s="79">
        <v>0</v>
      </c>
      <c r="R8" s="118">
        <v>120</v>
      </c>
      <c r="S8" s="79">
        <v>0</v>
      </c>
      <c r="T8" s="118">
        <v>0</v>
      </c>
      <c r="U8" s="70">
        <f t="shared" si="1"/>
        <v>0</v>
      </c>
      <c r="V8" s="70">
        <f t="shared" si="2"/>
        <v>4699.5200000000004</v>
      </c>
      <c r="W8" s="70">
        <f t="shared" si="3"/>
        <v>4699.5200000000004</v>
      </c>
      <c r="X8" s="79"/>
    </row>
    <row r="9" spans="1:24" s="119" customFormat="1" ht="14.5" x14ac:dyDescent="0.35">
      <c r="A9" s="126" t="s">
        <v>229</v>
      </c>
      <c r="B9" s="139" t="s">
        <v>229</v>
      </c>
      <c r="C9" s="143" t="s">
        <v>698</v>
      </c>
      <c r="D9" s="47">
        <v>0</v>
      </c>
      <c r="E9" s="110" t="s">
        <v>561</v>
      </c>
      <c r="F9" s="138" t="s">
        <v>791</v>
      </c>
      <c r="G9" s="76" t="s">
        <v>31</v>
      </c>
      <c r="H9" s="76" t="s">
        <v>32</v>
      </c>
      <c r="I9" s="76" t="s">
        <v>33</v>
      </c>
      <c r="J9" s="143" t="s">
        <v>61</v>
      </c>
      <c r="K9" s="143" t="s">
        <v>62</v>
      </c>
      <c r="L9" s="117">
        <v>45236</v>
      </c>
      <c r="M9" s="117">
        <v>45237</v>
      </c>
      <c r="N9" s="130">
        <f>3364.89/2</f>
        <v>1682.4449999999999</v>
      </c>
      <c r="O9" s="130">
        <f>3364.89/2</f>
        <v>1682.4449999999999</v>
      </c>
      <c r="P9" s="130">
        <f t="shared" si="0"/>
        <v>3364.89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3604.89</v>
      </c>
      <c r="W9" s="70">
        <f t="shared" si="3"/>
        <v>3604.89</v>
      </c>
      <c r="X9" s="79"/>
    </row>
    <row r="10" spans="1:24" s="119" customFormat="1" ht="14.5" x14ac:dyDescent="0.35">
      <c r="A10" s="126" t="s">
        <v>229</v>
      </c>
      <c r="B10" s="139" t="s">
        <v>214</v>
      </c>
      <c r="C10" s="143" t="s">
        <v>745</v>
      </c>
      <c r="D10" s="47">
        <v>386</v>
      </c>
      <c r="E10" s="143" t="s">
        <v>221</v>
      </c>
      <c r="F10" s="138" t="s">
        <v>792</v>
      </c>
      <c r="G10" s="76" t="s">
        <v>31</v>
      </c>
      <c r="H10" s="76" t="s">
        <v>32</v>
      </c>
      <c r="I10" s="76" t="s">
        <v>33</v>
      </c>
      <c r="J10" s="143" t="s">
        <v>38</v>
      </c>
      <c r="K10" s="143" t="s">
        <v>39</v>
      </c>
      <c r="L10" s="117">
        <v>45253</v>
      </c>
      <c r="M10" s="117">
        <v>45254</v>
      </c>
      <c r="N10" s="130">
        <f>5920.25</f>
        <v>5920.25</v>
      </c>
      <c r="O10" s="130">
        <v>1055.73</v>
      </c>
      <c r="P10" s="130">
        <f t="shared" si="0"/>
        <v>6975.98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7215.98</v>
      </c>
      <c r="W10" s="70">
        <f t="shared" si="3"/>
        <v>7215.98</v>
      </c>
      <c r="X10" s="79"/>
    </row>
    <row r="11" spans="1:24" s="119" customFormat="1" ht="14.5" x14ac:dyDescent="0.35">
      <c r="A11" s="126"/>
      <c r="B11" s="139" t="s">
        <v>225</v>
      </c>
      <c r="C11" s="143" t="s">
        <v>42</v>
      </c>
      <c r="D11" s="47">
        <v>232</v>
      </c>
      <c r="E11" s="143" t="s">
        <v>54</v>
      </c>
      <c r="F11" s="138" t="s">
        <v>794</v>
      </c>
      <c r="G11" s="76" t="s">
        <v>31</v>
      </c>
      <c r="H11" s="76" t="s">
        <v>32</v>
      </c>
      <c r="I11" s="76" t="s">
        <v>33</v>
      </c>
      <c r="J11" s="143" t="s">
        <v>102</v>
      </c>
      <c r="K11" s="143" t="s">
        <v>101</v>
      </c>
      <c r="L11" s="117">
        <v>45252</v>
      </c>
      <c r="M11" s="117">
        <v>45254</v>
      </c>
      <c r="N11" s="130">
        <f>2386.3/2</f>
        <v>1193.1500000000001</v>
      </c>
      <c r="O11" s="130">
        <f>2386.3/2</f>
        <v>1193.1500000000001</v>
      </c>
      <c r="P11" s="130">
        <f t="shared" si="0"/>
        <v>2386.3000000000002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1"/>
        <v>360</v>
      </c>
      <c r="V11" s="70">
        <f t="shared" si="2"/>
        <v>2746.3</v>
      </c>
      <c r="W11" s="70">
        <f t="shared" si="3"/>
        <v>2746.3</v>
      </c>
      <c r="X11" s="79"/>
    </row>
    <row r="12" spans="1:24" s="119" customFormat="1" ht="14.5" x14ac:dyDescent="0.3">
      <c r="A12" s="126" t="s">
        <v>250</v>
      </c>
      <c r="B12" s="126" t="s">
        <v>212</v>
      </c>
      <c r="C12" s="128" t="s">
        <v>270</v>
      </c>
      <c r="D12" s="47" t="s">
        <v>173</v>
      </c>
      <c r="E12" s="111" t="s">
        <v>599</v>
      </c>
      <c r="F12" s="138" t="s">
        <v>795</v>
      </c>
      <c r="G12" s="76" t="s">
        <v>31</v>
      </c>
      <c r="H12" s="76" t="s">
        <v>32</v>
      </c>
      <c r="I12" s="76" t="s">
        <v>33</v>
      </c>
      <c r="J12" s="143" t="s">
        <v>32</v>
      </c>
      <c r="K12" s="143" t="s">
        <v>390</v>
      </c>
      <c r="L12" s="117">
        <v>45243</v>
      </c>
      <c r="M12" s="117">
        <v>45244</v>
      </c>
      <c r="N12" s="130">
        <f>1429.3/2</f>
        <v>714.65</v>
      </c>
      <c r="O12" s="130">
        <f>1429.3/2</f>
        <v>714.65</v>
      </c>
      <c r="P12" s="130">
        <f t="shared" si="0"/>
        <v>1429.3</v>
      </c>
      <c r="Q12" s="79">
        <v>2</v>
      </c>
      <c r="R12" s="118">
        <v>120</v>
      </c>
      <c r="S12" s="79">
        <v>0</v>
      </c>
      <c r="T12" s="118">
        <v>0</v>
      </c>
      <c r="U12" s="70">
        <f t="shared" si="1"/>
        <v>240</v>
      </c>
      <c r="V12" s="70">
        <f t="shared" si="2"/>
        <v>1669.3</v>
      </c>
      <c r="W12" s="70">
        <f t="shared" si="3"/>
        <v>1669.3</v>
      </c>
      <c r="X12" s="79"/>
    </row>
    <row r="13" spans="1:24" s="119" customFormat="1" ht="14.5" x14ac:dyDescent="0.3">
      <c r="A13" s="126" t="s">
        <v>250</v>
      </c>
      <c r="B13" s="126" t="s">
        <v>258</v>
      </c>
      <c r="C13" s="128" t="s">
        <v>375</v>
      </c>
      <c r="D13" s="47">
        <v>65</v>
      </c>
      <c r="E13" s="143" t="s">
        <v>797</v>
      </c>
      <c r="F13" s="138" t="s">
        <v>793</v>
      </c>
      <c r="G13" s="76" t="s">
        <v>31</v>
      </c>
      <c r="H13" s="76" t="s">
        <v>32</v>
      </c>
      <c r="I13" s="76" t="s">
        <v>33</v>
      </c>
      <c r="J13" s="143" t="s">
        <v>61</v>
      </c>
      <c r="K13" s="143" t="s">
        <v>62</v>
      </c>
      <c r="L13" s="117">
        <v>45236</v>
      </c>
      <c r="M13" s="117">
        <v>45237</v>
      </c>
      <c r="N13" s="130">
        <f>3474.52/2</f>
        <v>1737.26</v>
      </c>
      <c r="O13" s="130">
        <f>3474.52/2</f>
        <v>1737.26</v>
      </c>
      <c r="P13" s="130">
        <f t="shared" si="0"/>
        <v>3474.52</v>
      </c>
      <c r="Q13" s="79">
        <v>2</v>
      </c>
      <c r="R13" s="118">
        <v>120</v>
      </c>
      <c r="S13" s="79">
        <v>0</v>
      </c>
      <c r="T13" s="118">
        <v>0</v>
      </c>
      <c r="U13" s="70">
        <f t="shared" si="1"/>
        <v>240</v>
      </c>
      <c r="V13" s="70">
        <f t="shared" si="2"/>
        <v>3714.52</v>
      </c>
      <c r="W13" s="70">
        <f t="shared" si="3"/>
        <v>3714.52</v>
      </c>
      <c r="X13" s="79"/>
    </row>
    <row r="14" spans="1:24" s="119" customFormat="1" ht="14.5" x14ac:dyDescent="0.3">
      <c r="A14" s="126" t="s">
        <v>250</v>
      </c>
      <c r="B14" s="126" t="s">
        <v>250</v>
      </c>
      <c r="C14" s="128" t="s">
        <v>378</v>
      </c>
      <c r="D14" s="47">
        <v>0</v>
      </c>
      <c r="E14" s="125" t="s">
        <v>55</v>
      </c>
      <c r="F14" s="138" t="s">
        <v>791</v>
      </c>
      <c r="G14" s="76" t="s">
        <v>31</v>
      </c>
      <c r="H14" s="76" t="s">
        <v>32</v>
      </c>
      <c r="I14" s="76" t="s">
        <v>33</v>
      </c>
      <c r="J14" s="143" t="s">
        <v>61</v>
      </c>
      <c r="K14" s="143" t="s">
        <v>62</v>
      </c>
      <c r="L14" s="117">
        <v>45238</v>
      </c>
      <c r="M14" s="117">
        <v>45238</v>
      </c>
      <c r="N14" s="130">
        <f>1687.36/2</f>
        <v>843.68</v>
      </c>
      <c r="O14" s="130">
        <f>1687.36/2</f>
        <v>843.68</v>
      </c>
      <c r="P14" s="130">
        <f t="shared" si="0"/>
        <v>1687.36</v>
      </c>
      <c r="Q14" s="79">
        <v>0</v>
      </c>
      <c r="R14" s="118">
        <v>120</v>
      </c>
      <c r="S14" s="79">
        <v>0</v>
      </c>
      <c r="T14" s="118">
        <v>0</v>
      </c>
      <c r="U14" s="70">
        <f t="shared" si="1"/>
        <v>0</v>
      </c>
      <c r="V14" s="70">
        <f t="shared" si="2"/>
        <v>1687.36</v>
      </c>
      <c r="W14" s="70">
        <f t="shared" si="3"/>
        <v>1687.36</v>
      </c>
      <c r="X14" s="79"/>
    </row>
    <row r="15" spans="1:24" s="119" customFormat="1" ht="14.5" x14ac:dyDescent="0.3">
      <c r="A15" s="126" t="s">
        <v>229</v>
      </c>
      <c r="B15" s="138" t="s">
        <v>229</v>
      </c>
      <c r="C15" s="128" t="s">
        <v>757</v>
      </c>
      <c r="D15" s="47">
        <v>392</v>
      </c>
      <c r="E15" s="143" t="s">
        <v>798</v>
      </c>
      <c r="F15" s="138" t="s">
        <v>791</v>
      </c>
      <c r="G15" s="76" t="s">
        <v>31</v>
      </c>
      <c r="H15" s="76" t="s">
        <v>32</v>
      </c>
      <c r="I15" s="76" t="s">
        <v>33</v>
      </c>
      <c r="J15" s="143" t="s">
        <v>61</v>
      </c>
      <c r="K15" s="143" t="s">
        <v>62</v>
      </c>
      <c r="L15" s="117">
        <v>45236</v>
      </c>
      <c r="M15" s="117">
        <v>45237</v>
      </c>
      <c r="N15" s="130">
        <f>4185.9/2</f>
        <v>2092.9499999999998</v>
      </c>
      <c r="O15" s="130">
        <f>4185.9/2</f>
        <v>2092.9499999999998</v>
      </c>
      <c r="P15" s="130">
        <f t="shared" si="0"/>
        <v>4185.8999999999996</v>
      </c>
      <c r="Q15" s="79">
        <v>2</v>
      </c>
      <c r="R15" s="118">
        <v>120</v>
      </c>
      <c r="S15" s="79">
        <v>0</v>
      </c>
      <c r="T15" s="118">
        <v>0</v>
      </c>
      <c r="U15" s="70">
        <f t="shared" si="1"/>
        <v>240</v>
      </c>
      <c r="V15" s="70">
        <f t="shared" si="2"/>
        <v>4425.8999999999996</v>
      </c>
      <c r="W15" s="70">
        <f t="shared" si="3"/>
        <v>4425.8999999999996</v>
      </c>
      <c r="X15" s="79"/>
    </row>
    <row r="16" spans="1:24" s="119" customFormat="1" ht="14.5" x14ac:dyDescent="0.3">
      <c r="A16" s="126" t="s">
        <v>229</v>
      </c>
      <c r="B16" s="138" t="s">
        <v>239</v>
      </c>
      <c r="C16" s="128" t="s">
        <v>697</v>
      </c>
      <c r="D16" s="47">
        <v>394</v>
      </c>
      <c r="E16" s="138" t="s">
        <v>705</v>
      </c>
      <c r="F16" s="138" t="s">
        <v>791</v>
      </c>
      <c r="G16" s="76" t="s">
        <v>31</v>
      </c>
      <c r="H16" s="76" t="s">
        <v>32</v>
      </c>
      <c r="I16" s="76" t="s">
        <v>33</v>
      </c>
      <c r="J16" s="143" t="s">
        <v>61</v>
      </c>
      <c r="K16" s="143" t="s">
        <v>62</v>
      </c>
      <c r="L16" s="117">
        <v>45236</v>
      </c>
      <c r="M16" s="117">
        <v>45237</v>
      </c>
      <c r="N16" s="130">
        <f>4185.9/2</f>
        <v>2092.9499999999998</v>
      </c>
      <c r="O16" s="130">
        <f>4185.9/2</f>
        <v>2092.9499999999998</v>
      </c>
      <c r="P16" s="130">
        <f t="shared" si="0"/>
        <v>4185.8999999999996</v>
      </c>
      <c r="Q16" s="79">
        <v>2</v>
      </c>
      <c r="R16" s="118">
        <v>120</v>
      </c>
      <c r="S16" s="79">
        <v>0</v>
      </c>
      <c r="T16" s="118">
        <v>0</v>
      </c>
      <c r="U16" s="70">
        <f t="shared" si="1"/>
        <v>240</v>
      </c>
      <c r="V16" s="70">
        <f>P16+U16</f>
        <v>4425.8999999999996</v>
      </c>
      <c r="W16" s="70">
        <f t="shared" si="3"/>
        <v>4425.8999999999996</v>
      </c>
      <c r="X16" s="79"/>
    </row>
    <row r="17" ht="14.25" customHeight="1" x14ac:dyDescent="0.3"/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E97BE-E8B8-49D6-A518-8F98FC04A626}">
  <dimension ref="A1:X11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92"/>
      <c r="B4" s="392"/>
      <c r="C4" s="392"/>
      <c r="D4" s="392"/>
      <c r="E4" s="392"/>
      <c r="F4" s="392"/>
      <c r="G4" s="392"/>
      <c r="H4" s="10" t="s">
        <v>27</v>
      </c>
      <c r="I4" s="10" t="s">
        <v>28</v>
      </c>
      <c r="J4" s="10" t="s">
        <v>27</v>
      </c>
      <c r="K4" s="11" t="s">
        <v>29</v>
      </c>
      <c r="L4" s="392"/>
      <c r="M4" s="392"/>
      <c r="N4" s="393"/>
      <c r="O4" s="393"/>
      <c r="P4" s="393"/>
      <c r="Q4" s="10" t="s">
        <v>2</v>
      </c>
      <c r="R4" s="11" t="s">
        <v>30</v>
      </c>
      <c r="S4" s="10" t="s">
        <v>2</v>
      </c>
      <c r="T4" s="11" t="s">
        <v>30</v>
      </c>
      <c r="U4" s="392"/>
      <c r="V4" s="393"/>
      <c r="W4" s="394"/>
      <c r="X4" s="391"/>
    </row>
    <row r="5" spans="1:24" s="119" customFormat="1" ht="14.5" x14ac:dyDescent="0.3">
      <c r="A5" s="126" t="s">
        <v>229</v>
      </c>
      <c r="B5" s="126" t="s">
        <v>227</v>
      </c>
      <c r="C5" s="145" t="s">
        <v>728</v>
      </c>
      <c r="D5" s="47">
        <v>387</v>
      </c>
      <c r="E5" s="138" t="s">
        <v>262</v>
      </c>
      <c r="F5" s="145" t="s">
        <v>799</v>
      </c>
      <c r="G5" s="76" t="s">
        <v>31</v>
      </c>
      <c r="H5" s="76" t="s">
        <v>32</v>
      </c>
      <c r="I5" s="76" t="s">
        <v>33</v>
      </c>
      <c r="J5" s="145" t="s">
        <v>38</v>
      </c>
      <c r="K5" s="145" t="s">
        <v>39</v>
      </c>
      <c r="L5" s="117">
        <v>45271</v>
      </c>
      <c r="M5" s="117">
        <v>45272</v>
      </c>
      <c r="N5" s="130">
        <f>1634.81/2</f>
        <v>817.40499999999997</v>
      </c>
      <c r="O5" s="130">
        <f>1634.81/2</f>
        <v>817.40499999999997</v>
      </c>
      <c r="P5" s="130">
        <f t="shared" ref="P5:P10" si="0">SUM(N5:O5)</f>
        <v>1634.81</v>
      </c>
      <c r="Q5" s="79">
        <v>3</v>
      </c>
      <c r="R5" s="118">
        <v>120</v>
      </c>
      <c r="S5" s="79">
        <v>0</v>
      </c>
      <c r="T5" s="118">
        <v>0</v>
      </c>
      <c r="U5" s="70">
        <f t="shared" ref="U5:U10" si="1">Q5*R5+S5*T5</f>
        <v>360</v>
      </c>
      <c r="V5" s="70">
        <f t="shared" ref="V5:V10" si="2">P5+U5</f>
        <v>1994.81</v>
      </c>
      <c r="W5" s="70">
        <f t="shared" ref="W5:W10" si="3">V5</f>
        <v>1994.81</v>
      </c>
      <c r="X5" s="79"/>
    </row>
    <row r="6" spans="1:24" s="119" customFormat="1" ht="14.5" x14ac:dyDescent="0.3">
      <c r="A6" s="126" t="s">
        <v>229</v>
      </c>
      <c r="B6" s="126" t="s">
        <v>229</v>
      </c>
      <c r="C6" s="135" t="s">
        <v>698</v>
      </c>
      <c r="D6" s="47">
        <v>0</v>
      </c>
      <c r="E6" s="110" t="s">
        <v>561</v>
      </c>
      <c r="F6" s="143" t="s">
        <v>800</v>
      </c>
      <c r="G6" s="76" t="s">
        <v>31</v>
      </c>
      <c r="H6" s="76" t="s">
        <v>32</v>
      </c>
      <c r="I6" s="76" t="s">
        <v>33</v>
      </c>
      <c r="J6" s="143" t="s">
        <v>61</v>
      </c>
      <c r="K6" s="143" t="s">
        <v>62</v>
      </c>
      <c r="L6" s="117">
        <v>45266</v>
      </c>
      <c r="M6" s="117">
        <v>45268</v>
      </c>
      <c r="N6" s="130">
        <f>2945.25/2</f>
        <v>1472.625</v>
      </c>
      <c r="O6" s="130">
        <f>2945.25/2</f>
        <v>1472.625</v>
      </c>
      <c r="P6" s="130">
        <f t="shared" si="0"/>
        <v>2945.25</v>
      </c>
      <c r="Q6" s="79">
        <v>0</v>
      </c>
      <c r="R6" s="118">
        <v>120</v>
      </c>
      <c r="S6" s="79">
        <v>0</v>
      </c>
      <c r="T6" s="118">
        <v>0</v>
      </c>
      <c r="U6" s="70">
        <f t="shared" si="1"/>
        <v>0</v>
      </c>
      <c r="V6" s="70">
        <f t="shared" si="2"/>
        <v>2945.25</v>
      </c>
      <c r="W6" s="70">
        <f t="shared" si="3"/>
        <v>2945.25</v>
      </c>
      <c r="X6" s="79"/>
    </row>
    <row r="7" spans="1:24" s="119" customFormat="1" ht="14.5" x14ac:dyDescent="0.3">
      <c r="A7" s="126" t="s">
        <v>250</v>
      </c>
      <c r="B7" s="126" t="s">
        <v>250</v>
      </c>
      <c r="C7" s="135" t="s">
        <v>378</v>
      </c>
      <c r="D7" s="47">
        <v>0</v>
      </c>
      <c r="E7" s="110" t="s">
        <v>55</v>
      </c>
      <c r="F7" s="143" t="s">
        <v>801</v>
      </c>
      <c r="G7" s="76" t="s">
        <v>31</v>
      </c>
      <c r="H7" s="76" t="s">
        <v>32</v>
      </c>
      <c r="I7" s="76" t="s">
        <v>33</v>
      </c>
      <c r="J7" s="143" t="s">
        <v>61</v>
      </c>
      <c r="K7" s="143" t="s">
        <v>62</v>
      </c>
      <c r="L7" s="117">
        <v>45273</v>
      </c>
      <c r="M7" s="117">
        <v>45274</v>
      </c>
      <c r="N7" s="130">
        <f>2092/2</f>
        <v>1046</v>
      </c>
      <c r="O7" s="130">
        <f>2092/2</f>
        <v>1046</v>
      </c>
      <c r="P7" s="130">
        <f t="shared" si="0"/>
        <v>2092</v>
      </c>
      <c r="Q7" s="79">
        <v>0</v>
      </c>
      <c r="R7" s="118">
        <v>120</v>
      </c>
      <c r="S7" s="79">
        <v>0</v>
      </c>
      <c r="T7" s="118">
        <v>0</v>
      </c>
      <c r="U7" s="70">
        <f t="shared" si="1"/>
        <v>0</v>
      </c>
      <c r="V7" s="70">
        <f t="shared" si="2"/>
        <v>2092</v>
      </c>
      <c r="W7" s="70">
        <f t="shared" si="3"/>
        <v>2092</v>
      </c>
      <c r="X7" s="79"/>
    </row>
    <row r="8" spans="1:24" s="119" customFormat="1" ht="14.5" x14ac:dyDescent="0.3">
      <c r="A8" s="126" t="s">
        <v>250</v>
      </c>
      <c r="B8" s="126" t="s">
        <v>258</v>
      </c>
      <c r="C8" s="135" t="s">
        <v>802</v>
      </c>
      <c r="D8" s="47">
        <v>404</v>
      </c>
      <c r="E8" s="110" t="s">
        <v>804</v>
      </c>
      <c r="F8" s="143" t="s">
        <v>800</v>
      </c>
      <c r="G8" s="76" t="s">
        <v>31</v>
      </c>
      <c r="H8" s="76" t="s">
        <v>32</v>
      </c>
      <c r="I8" s="76" t="s">
        <v>33</v>
      </c>
      <c r="J8" s="143" t="s">
        <v>61</v>
      </c>
      <c r="K8" s="143" t="s">
        <v>62</v>
      </c>
      <c r="L8" s="117">
        <v>45267</v>
      </c>
      <c r="M8" s="117">
        <v>45268</v>
      </c>
      <c r="N8" s="130">
        <f>2884/2</f>
        <v>1442</v>
      </c>
      <c r="O8" s="130">
        <f>2884/2</f>
        <v>1442</v>
      </c>
      <c r="P8" s="130">
        <f t="shared" si="0"/>
        <v>2884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3124</v>
      </c>
      <c r="W8" s="70">
        <f t="shared" si="3"/>
        <v>3124</v>
      </c>
      <c r="X8" s="79"/>
    </row>
    <row r="9" spans="1:24" s="119" customFormat="1" ht="14.5" x14ac:dyDescent="0.3">
      <c r="A9" s="126" t="s">
        <v>250</v>
      </c>
      <c r="B9" s="126" t="s">
        <v>212</v>
      </c>
      <c r="C9" s="135" t="s">
        <v>270</v>
      </c>
      <c r="D9" s="47" t="s">
        <v>173</v>
      </c>
      <c r="E9" s="110" t="s">
        <v>599</v>
      </c>
      <c r="F9" s="143" t="s">
        <v>803</v>
      </c>
      <c r="G9" s="76" t="s">
        <v>31</v>
      </c>
      <c r="H9" s="76" t="s">
        <v>32</v>
      </c>
      <c r="I9" s="76" t="s">
        <v>33</v>
      </c>
      <c r="J9" s="143" t="s">
        <v>32</v>
      </c>
      <c r="K9" s="143" t="s">
        <v>390</v>
      </c>
      <c r="L9" s="117">
        <v>45273</v>
      </c>
      <c r="M9" s="117">
        <v>45274</v>
      </c>
      <c r="N9" s="130">
        <f>979.78/2</f>
        <v>489.89</v>
      </c>
      <c r="O9" s="130">
        <f>979.78/2</f>
        <v>489.89</v>
      </c>
      <c r="P9" s="130">
        <f t="shared" si="0"/>
        <v>979.78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1219.78</v>
      </c>
      <c r="W9" s="70">
        <f t="shared" si="3"/>
        <v>1219.78</v>
      </c>
      <c r="X9" s="79"/>
    </row>
    <row r="10" spans="1:24" s="119" customFormat="1" ht="14.5" x14ac:dyDescent="0.3">
      <c r="A10" s="126" t="s">
        <v>250</v>
      </c>
      <c r="B10" s="126" t="s">
        <v>212</v>
      </c>
      <c r="C10" s="135" t="s">
        <v>612</v>
      </c>
      <c r="D10" s="47">
        <v>365</v>
      </c>
      <c r="E10" s="110" t="s">
        <v>52</v>
      </c>
      <c r="F10" s="143" t="s">
        <v>803</v>
      </c>
      <c r="G10" s="76" t="s">
        <v>31</v>
      </c>
      <c r="H10" s="76" t="s">
        <v>32</v>
      </c>
      <c r="I10" s="76" t="s">
        <v>33</v>
      </c>
      <c r="J10" s="143" t="s">
        <v>32</v>
      </c>
      <c r="K10" s="143" t="s">
        <v>390</v>
      </c>
      <c r="L10" s="117">
        <v>45273</v>
      </c>
      <c r="M10" s="117">
        <v>45274</v>
      </c>
      <c r="N10" s="130">
        <f>979.78/2</f>
        <v>489.89</v>
      </c>
      <c r="O10" s="130">
        <f>979.78/2</f>
        <v>489.89</v>
      </c>
      <c r="P10" s="130">
        <f t="shared" si="0"/>
        <v>979.78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1219.78</v>
      </c>
      <c r="W10" s="70">
        <f t="shared" si="3"/>
        <v>1219.78</v>
      </c>
      <c r="X10" s="79"/>
    </row>
    <row r="11" spans="1:24" ht="14.25" customHeight="1" x14ac:dyDescent="0.3"/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04384-B6D6-4484-9AF7-1428E670215B}">
  <dimension ref="A1:X8"/>
  <sheetViews>
    <sheetView workbookViewId="0">
      <selection activeCell="D6" sqref="D6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92"/>
      <c r="B4" s="392"/>
      <c r="C4" s="392"/>
      <c r="D4" s="392"/>
      <c r="E4" s="392"/>
      <c r="F4" s="392"/>
      <c r="G4" s="392"/>
      <c r="H4" s="10" t="s">
        <v>27</v>
      </c>
      <c r="I4" s="10" t="s">
        <v>28</v>
      </c>
      <c r="J4" s="10" t="s">
        <v>27</v>
      </c>
      <c r="K4" s="11" t="s">
        <v>29</v>
      </c>
      <c r="L4" s="392"/>
      <c r="M4" s="392"/>
      <c r="N4" s="393"/>
      <c r="O4" s="393"/>
      <c r="P4" s="393"/>
      <c r="Q4" s="10" t="s">
        <v>2</v>
      </c>
      <c r="R4" s="11" t="s">
        <v>30</v>
      </c>
      <c r="S4" s="10" t="s">
        <v>2</v>
      </c>
      <c r="T4" s="11" t="s">
        <v>30</v>
      </c>
      <c r="U4" s="392"/>
      <c r="V4" s="393"/>
      <c r="W4" s="394"/>
      <c r="X4" s="391"/>
    </row>
    <row r="5" spans="1:24" s="119" customFormat="1" ht="14.5" x14ac:dyDescent="0.3">
      <c r="A5" s="126" t="s">
        <v>229</v>
      </c>
      <c r="B5" s="126" t="s">
        <v>229</v>
      </c>
      <c r="C5" s="146" t="s">
        <v>698</v>
      </c>
      <c r="D5" s="47">
        <v>0</v>
      </c>
      <c r="E5" s="110" t="s">
        <v>561</v>
      </c>
      <c r="F5" s="146" t="s">
        <v>805</v>
      </c>
      <c r="G5" s="76" t="s">
        <v>31</v>
      </c>
      <c r="H5" s="76" t="s">
        <v>32</v>
      </c>
      <c r="I5" s="76" t="s">
        <v>33</v>
      </c>
      <c r="J5" s="146" t="s">
        <v>61</v>
      </c>
      <c r="K5" s="146" t="s">
        <v>62</v>
      </c>
      <c r="L5" s="117">
        <v>45300</v>
      </c>
      <c r="M5" s="117">
        <v>45303</v>
      </c>
      <c r="N5" s="130">
        <f>3367.92/2</f>
        <v>1683.96</v>
      </c>
      <c r="O5" s="130">
        <f>3367.92/2</f>
        <v>1683.96</v>
      </c>
      <c r="P5" s="130">
        <f t="shared" ref="P5:P7" si="0">SUM(N5:O5)</f>
        <v>3367.92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7" si="1">Q5*R5+S5*T5</f>
        <v>0</v>
      </c>
      <c r="V5" s="70">
        <f t="shared" ref="V5:V7" si="2">P5+U5</f>
        <v>3367.92</v>
      </c>
      <c r="W5" s="70">
        <f t="shared" ref="W5:W7" si="3">V5</f>
        <v>3367.92</v>
      </c>
      <c r="X5" s="79"/>
    </row>
    <row r="6" spans="1:24" s="119" customFormat="1" ht="14.5" x14ac:dyDescent="0.3">
      <c r="A6" s="146" t="s">
        <v>372</v>
      </c>
      <c r="B6" s="126" t="s">
        <v>238</v>
      </c>
      <c r="C6" s="146" t="s">
        <v>447</v>
      </c>
      <c r="D6" s="47">
        <v>336</v>
      </c>
      <c r="E6" s="138" t="s">
        <v>309</v>
      </c>
      <c r="F6" s="146" t="s">
        <v>740</v>
      </c>
      <c r="G6" s="76" t="s">
        <v>31</v>
      </c>
      <c r="H6" s="76" t="s">
        <v>32</v>
      </c>
      <c r="I6" s="76" t="s">
        <v>33</v>
      </c>
      <c r="J6" s="146" t="s">
        <v>38</v>
      </c>
      <c r="K6" s="146" t="s">
        <v>39</v>
      </c>
      <c r="L6" s="117">
        <v>45312</v>
      </c>
      <c r="M6" s="117">
        <v>45313</v>
      </c>
      <c r="N6" s="130">
        <f>1485.78/2</f>
        <v>742.89</v>
      </c>
      <c r="O6" s="130">
        <f>1485.78/2</f>
        <v>742.89</v>
      </c>
      <c r="P6" s="130">
        <f t="shared" si="0"/>
        <v>1485.78</v>
      </c>
      <c r="Q6" s="79">
        <v>2</v>
      </c>
      <c r="R6" s="118">
        <v>120</v>
      </c>
      <c r="S6" s="79">
        <v>0</v>
      </c>
      <c r="T6" s="118">
        <v>0</v>
      </c>
      <c r="U6" s="70">
        <f t="shared" si="1"/>
        <v>240</v>
      </c>
      <c r="V6" s="70">
        <f t="shared" si="2"/>
        <v>1725.78</v>
      </c>
      <c r="W6" s="70">
        <f t="shared" si="3"/>
        <v>1725.78</v>
      </c>
      <c r="X6" s="79"/>
    </row>
    <row r="7" spans="1:24" s="119" customFormat="1" ht="14.5" x14ac:dyDescent="0.3">
      <c r="A7" s="126" t="s">
        <v>229</v>
      </c>
      <c r="B7" s="126" t="s">
        <v>214</v>
      </c>
      <c r="C7" s="146" t="s">
        <v>745</v>
      </c>
      <c r="D7" s="47">
        <v>386</v>
      </c>
      <c r="E7" s="143" t="s">
        <v>221</v>
      </c>
      <c r="F7" s="146" t="s">
        <v>740</v>
      </c>
      <c r="G7" s="76" t="s">
        <v>31</v>
      </c>
      <c r="H7" s="76" t="s">
        <v>32</v>
      </c>
      <c r="I7" s="76" t="s">
        <v>33</v>
      </c>
      <c r="J7" s="146" t="s">
        <v>38</v>
      </c>
      <c r="K7" s="146" t="s">
        <v>39</v>
      </c>
      <c r="L7" s="117">
        <v>45312</v>
      </c>
      <c r="M7" s="117">
        <v>45313</v>
      </c>
      <c r="N7" s="130">
        <f>1558.31/2</f>
        <v>779.15499999999997</v>
      </c>
      <c r="O7" s="130">
        <f>1558.31/2</f>
        <v>779.15499999999997</v>
      </c>
      <c r="P7" s="130">
        <f t="shared" si="0"/>
        <v>1558.31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1798.31</v>
      </c>
      <c r="W7" s="70">
        <f t="shared" si="3"/>
        <v>1798.31</v>
      </c>
      <c r="X7" s="79"/>
    </row>
    <row r="8" spans="1:24" ht="14.25" customHeight="1" x14ac:dyDescent="0.3"/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5B056-67C2-423B-81A5-F8E43A29EF8D}">
  <dimension ref="A1:X22"/>
  <sheetViews>
    <sheetView workbookViewId="0">
      <selection activeCell="D6" sqref="D6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92"/>
      <c r="B4" s="392"/>
      <c r="C4" s="392"/>
      <c r="D4" s="392"/>
      <c r="E4" s="392"/>
      <c r="F4" s="392"/>
      <c r="G4" s="392"/>
      <c r="H4" s="10" t="s">
        <v>27</v>
      </c>
      <c r="I4" s="10" t="s">
        <v>28</v>
      </c>
      <c r="J4" s="10" t="s">
        <v>27</v>
      </c>
      <c r="K4" s="11" t="s">
        <v>29</v>
      </c>
      <c r="L4" s="392"/>
      <c r="M4" s="392"/>
      <c r="N4" s="393"/>
      <c r="O4" s="393"/>
      <c r="P4" s="393"/>
      <c r="Q4" s="10" t="s">
        <v>2</v>
      </c>
      <c r="R4" s="11" t="s">
        <v>30</v>
      </c>
      <c r="S4" s="10" t="s">
        <v>2</v>
      </c>
      <c r="T4" s="11" t="s">
        <v>30</v>
      </c>
      <c r="U4" s="392"/>
      <c r="V4" s="393"/>
      <c r="W4" s="394"/>
      <c r="X4" s="391"/>
    </row>
    <row r="5" spans="1:24" s="119" customFormat="1" ht="29" x14ac:dyDescent="0.3">
      <c r="A5" s="126" t="s">
        <v>229</v>
      </c>
      <c r="B5" s="126" t="s">
        <v>229</v>
      </c>
      <c r="C5" s="146" t="s">
        <v>698</v>
      </c>
      <c r="D5" s="47">
        <v>0</v>
      </c>
      <c r="E5" s="110" t="s">
        <v>561</v>
      </c>
      <c r="F5" s="148" t="s">
        <v>806</v>
      </c>
      <c r="G5" s="76" t="s">
        <v>31</v>
      </c>
      <c r="H5" s="76" t="s">
        <v>32</v>
      </c>
      <c r="I5" s="76" t="s">
        <v>33</v>
      </c>
      <c r="J5" s="147" t="s">
        <v>32</v>
      </c>
      <c r="K5" s="147" t="s">
        <v>390</v>
      </c>
      <c r="L5" s="117">
        <v>45327</v>
      </c>
      <c r="M5" s="117">
        <v>45329</v>
      </c>
      <c r="N5" s="130">
        <f>1227.84/2</f>
        <v>613.91999999999996</v>
      </c>
      <c r="O5" s="130">
        <f>1227.84/2</f>
        <v>613.91999999999996</v>
      </c>
      <c r="P5" s="130">
        <f t="shared" ref="P5:P10" si="0">SUM(N5:O5)</f>
        <v>1227.8399999999999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7" si="1">Q5*R5+S5*T5</f>
        <v>0</v>
      </c>
      <c r="V5" s="70">
        <f t="shared" ref="V5:V7" si="2">P5+U5</f>
        <v>1227.8399999999999</v>
      </c>
      <c r="W5" s="70">
        <f t="shared" ref="W5:W7" si="3">V5</f>
        <v>1227.8399999999999</v>
      </c>
      <c r="X5" s="79"/>
    </row>
    <row r="6" spans="1:24" s="119" customFormat="1" ht="29" x14ac:dyDescent="0.3">
      <c r="A6" s="126" t="s">
        <v>250</v>
      </c>
      <c r="B6" s="126" t="s">
        <v>250</v>
      </c>
      <c r="C6" s="146" t="s">
        <v>670</v>
      </c>
      <c r="D6" s="47">
        <v>383</v>
      </c>
      <c r="E6" s="110" t="s">
        <v>703</v>
      </c>
      <c r="F6" s="148" t="s">
        <v>806</v>
      </c>
      <c r="G6" s="76" t="s">
        <v>31</v>
      </c>
      <c r="H6" s="76" t="s">
        <v>32</v>
      </c>
      <c r="I6" s="76" t="s">
        <v>33</v>
      </c>
      <c r="J6" s="147" t="s">
        <v>32</v>
      </c>
      <c r="K6" s="147" t="s">
        <v>390</v>
      </c>
      <c r="L6" s="117">
        <v>45327</v>
      </c>
      <c r="M6" s="117">
        <v>45329</v>
      </c>
      <c r="N6" s="130">
        <f>1204.78/2</f>
        <v>602.39</v>
      </c>
      <c r="O6" s="130">
        <f>1204.78/2</f>
        <v>602.39</v>
      </c>
      <c r="P6" s="130">
        <f t="shared" si="0"/>
        <v>1204.78</v>
      </c>
      <c r="Q6" s="79">
        <v>3</v>
      </c>
      <c r="R6" s="118">
        <v>120</v>
      </c>
      <c r="S6" s="79">
        <v>0</v>
      </c>
      <c r="T6" s="118">
        <v>0</v>
      </c>
      <c r="U6" s="70">
        <f t="shared" si="1"/>
        <v>360</v>
      </c>
      <c r="V6" s="70">
        <f t="shared" si="2"/>
        <v>1564.78</v>
      </c>
      <c r="W6" s="70">
        <f t="shared" si="3"/>
        <v>1564.78</v>
      </c>
      <c r="X6" s="79"/>
    </row>
    <row r="7" spans="1:24" s="119" customFormat="1" ht="29" x14ac:dyDescent="0.3">
      <c r="A7" s="126" t="s">
        <v>250</v>
      </c>
      <c r="B7" s="126" t="s">
        <v>258</v>
      </c>
      <c r="C7" s="146" t="s">
        <v>802</v>
      </c>
      <c r="D7" s="47">
        <v>404</v>
      </c>
      <c r="E7" s="110" t="s">
        <v>804</v>
      </c>
      <c r="F7" s="148" t="s">
        <v>806</v>
      </c>
      <c r="G7" s="76" t="s">
        <v>31</v>
      </c>
      <c r="H7" s="76" t="s">
        <v>32</v>
      </c>
      <c r="I7" s="76" t="s">
        <v>33</v>
      </c>
      <c r="J7" s="147" t="s">
        <v>32</v>
      </c>
      <c r="K7" s="147" t="s">
        <v>390</v>
      </c>
      <c r="L7" s="117">
        <v>45327</v>
      </c>
      <c r="M7" s="117">
        <v>45329</v>
      </c>
      <c r="N7" s="130">
        <f>1204.78/2</f>
        <v>602.39</v>
      </c>
      <c r="O7" s="130">
        <f>1204.78/2</f>
        <v>602.39</v>
      </c>
      <c r="P7" s="130">
        <f t="shared" si="0"/>
        <v>1204.78</v>
      </c>
      <c r="Q7" s="79">
        <v>3</v>
      </c>
      <c r="R7" s="118">
        <v>120</v>
      </c>
      <c r="S7" s="79">
        <v>0</v>
      </c>
      <c r="T7" s="118">
        <v>0</v>
      </c>
      <c r="U7" s="70">
        <f t="shared" si="1"/>
        <v>360</v>
      </c>
      <c r="V7" s="70">
        <f t="shared" si="2"/>
        <v>1564.78</v>
      </c>
      <c r="W7" s="70">
        <f t="shared" si="3"/>
        <v>1564.78</v>
      </c>
      <c r="X7" s="79"/>
    </row>
    <row r="8" spans="1:24" s="119" customFormat="1" ht="29" x14ac:dyDescent="0.3">
      <c r="A8" s="126" t="s">
        <v>229</v>
      </c>
      <c r="B8" s="126" t="s">
        <v>214</v>
      </c>
      <c r="C8" s="146" t="s">
        <v>745</v>
      </c>
      <c r="D8" s="47">
        <v>386</v>
      </c>
      <c r="E8" s="110" t="s">
        <v>221</v>
      </c>
      <c r="F8" s="148" t="s">
        <v>806</v>
      </c>
      <c r="G8" s="76" t="s">
        <v>31</v>
      </c>
      <c r="H8" s="76" t="s">
        <v>32</v>
      </c>
      <c r="I8" s="76" t="s">
        <v>33</v>
      </c>
      <c r="J8" s="147" t="s">
        <v>32</v>
      </c>
      <c r="K8" s="147" t="s">
        <v>390</v>
      </c>
      <c r="L8" s="117">
        <v>45327</v>
      </c>
      <c r="M8" s="117">
        <v>45329</v>
      </c>
      <c r="N8" s="130">
        <f>1227.84/2</f>
        <v>613.91999999999996</v>
      </c>
      <c r="O8" s="130">
        <f>1227.84/2</f>
        <v>613.91999999999996</v>
      </c>
      <c r="P8" s="130">
        <f t="shared" si="0"/>
        <v>1227.8399999999999</v>
      </c>
      <c r="Q8" s="79">
        <v>3</v>
      </c>
      <c r="R8" s="118">
        <v>120</v>
      </c>
      <c r="S8" s="79">
        <v>0</v>
      </c>
      <c r="T8" s="118">
        <v>0</v>
      </c>
      <c r="U8" s="70">
        <f t="shared" ref="U8:U10" si="4">Q8*R8+S8*T8</f>
        <v>360</v>
      </c>
      <c r="V8" s="70">
        <f t="shared" ref="V8:V10" si="5">P8+U8</f>
        <v>1587.84</v>
      </c>
      <c r="W8" s="70">
        <f t="shared" ref="W8:W10" si="6">V8</f>
        <v>1587.84</v>
      </c>
      <c r="X8" s="79"/>
    </row>
    <row r="9" spans="1:24" s="119" customFormat="1" ht="29" x14ac:dyDescent="0.3">
      <c r="A9" s="126" t="s">
        <v>250</v>
      </c>
      <c r="B9" s="126" t="s">
        <v>759</v>
      </c>
      <c r="C9" s="146" t="s">
        <v>729</v>
      </c>
      <c r="D9" s="47">
        <v>390</v>
      </c>
      <c r="E9" s="110" t="s">
        <v>783</v>
      </c>
      <c r="F9" s="148" t="s">
        <v>806</v>
      </c>
      <c r="G9" s="76" t="s">
        <v>31</v>
      </c>
      <c r="H9" s="76" t="s">
        <v>32</v>
      </c>
      <c r="I9" s="76" t="s">
        <v>33</v>
      </c>
      <c r="J9" s="147" t="s">
        <v>32</v>
      </c>
      <c r="K9" s="147" t="s">
        <v>390</v>
      </c>
      <c r="L9" s="117">
        <v>45327</v>
      </c>
      <c r="M9" s="117">
        <v>45329</v>
      </c>
      <c r="N9" s="130">
        <f>1517.71/2</f>
        <v>758.85500000000002</v>
      </c>
      <c r="O9" s="130">
        <f>1517.71/2</f>
        <v>758.85500000000002</v>
      </c>
      <c r="P9" s="130">
        <f t="shared" si="0"/>
        <v>1517.71</v>
      </c>
      <c r="Q9" s="79">
        <v>3</v>
      </c>
      <c r="R9" s="118">
        <v>120</v>
      </c>
      <c r="S9" s="79">
        <v>0</v>
      </c>
      <c r="T9" s="118">
        <v>0</v>
      </c>
      <c r="U9" s="70">
        <f t="shared" si="4"/>
        <v>360</v>
      </c>
      <c r="V9" s="70">
        <f t="shared" si="5"/>
        <v>1877.71</v>
      </c>
      <c r="W9" s="70">
        <f t="shared" si="6"/>
        <v>1877.71</v>
      </c>
      <c r="X9" s="79"/>
    </row>
    <row r="10" spans="1:24" s="119" customFormat="1" ht="29" x14ac:dyDescent="0.3">
      <c r="A10" s="126" t="s">
        <v>229</v>
      </c>
      <c r="B10" s="126" t="s">
        <v>229</v>
      </c>
      <c r="C10" s="146" t="s">
        <v>757</v>
      </c>
      <c r="D10" s="47">
        <v>392</v>
      </c>
      <c r="E10" s="110" t="s">
        <v>784</v>
      </c>
      <c r="F10" s="148" t="s">
        <v>806</v>
      </c>
      <c r="G10" s="76" t="s">
        <v>31</v>
      </c>
      <c r="H10" s="76" t="s">
        <v>32</v>
      </c>
      <c r="I10" s="76" t="s">
        <v>33</v>
      </c>
      <c r="J10" s="147" t="s">
        <v>32</v>
      </c>
      <c r="K10" s="147" t="s">
        <v>390</v>
      </c>
      <c r="L10" s="117">
        <v>45327</v>
      </c>
      <c r="M10" s="117">
        <v>45329</v>
      </c>
      <c r="N10" s="130">
        <f>1517.71/2</f>
        <v>758.85500000000002</v>
      </c>
      <c r="O10" s="130">
        <f>1517.71/2</f>
        <v>758.85500000000002</v>
      </c>
      <c r="P10" s="130">
        <f t="shared" si="0"/>
        <v>1517.71</v>
      </c>
      <c r="Q10" s="79">
        <v>3</v>
      </c>
      <c r="R10" s="118">
        <v>120</v>
      </c>
      <c r="S10" s="79">
        <v>0</v>
      </c>
      <c r="T10" s="118">
        <v>0</v>
      </c>
      <c r="U10" s="70">
        <f t="shared" si="4"/>
        <v>360</v>
      </c>
      <c r="V10" s="70">
        <f t="shared" si="5"/>
        <v>1877.71</v>
      </c>
      <c r="W10" s="70">
        <f t="shared" si="6"/>
        <v>1877.71</v>
      </c>
      <c r="X10" s="79"/>
    </row>
    <row r="11" spans="1:24" s="119" customFormat="1" ht="14.5" x14ac:dyDescent="0.3">
      <c r="A11" s="126" t="s">
        <v>229</v>
      </c>
      <c r="B11" s="126" t="s">
        <v>229</v>
      </c>
      <c r="C11" s="146" t="s">
        <v>698</v>
      </c>
      <c r="D11" s="47">
        <v>0</v>
      </c>
      <c r="E11" s="110" t="s">
        <v>561</v>
      </c>
      <c r="F11" s="148" t="s">
        <v>807</v>
      </c>
      <c r="G11" s="76" t="s">
        <v>31</v>
      </c>
      <c r="H11" s="76" t="s">
        <v>32</v>
      </c>
      <c r="I11" s="76" t="s">
        <v>33</v>
      </c>
      <c r="J11" s="147" t="s">
        <v>61</v>
      </c>
      <c r="K11" s="147" t="s">
        <v>62</v>
      </c>
      <c r="L11" s="117">
        <v>45347</v>
      </c>
      <c r="M11" s="117">
        <v>46446</v>
      </c>
      <c r="N11" s="130">
        <f>1464.87/2</f>
        <v>732.43499999999995</v>
      </c>
      <c r="O11" s="130">
        <f>1464.87/2</f>
        <v>732.43499999999995</v>
      </c>
      <c r="P11" s="130">
        <f t="shared" ref="P11" si="7">SUM(N11:O11)</f>
        <v>1464.87</v>
      </c>
      <c r="Q11" s="79">
        <v>0</v>
      </c>
      <c r="R11" s="118">
        <v>120</v>
      </c>
      <c r="S11" s="79">
        <v>0</v>
      </c>
      <c r="T11" s="118">
        <v>0</v>
      </c>
      <c r="U11" s="70">
        <f t="shared" ref="U11" si="8">Q11*R11+S11*T11</f>
        <v>0</v>
      </c>
      <c r="V11" s="70">
        <f t="shared" ref="V11" si="9">P11+U11</f>
        <v>1464.87</v>
      </c>
      <c r="W11" s="70">
        <f t="shared" ref="W11" si="10">V11</f>
        <v>1464.87</v>
      </c>
      <c r="X11" s="79"/>
    </row>
    <row r="12" spans="1:24" s="119" customFormat="1" ht="14.5" x14ac:dyDescent="0.3">
      <c r="A12" s="126" t="s">
        <v>250</v>
      </c>
      <c r="B12" s="126" t="s">
        <v>250</v>
      </c>
      <c r="C12" s="146" t="s">
        <v>378</v>
      </c>
      <c r="D12" s="47">
        <v>0</v>
      </c>
      <c r="E12" s="110" t="s">
        <v>55</v>
      </c>
      <c r="F12" s="148" t="s">
        <v>808</v>
      </c>
      <c r="G12" s="76" t="s">
        <v>31</v>
      </c>
      <c r="H12" s="76" t="s">
        <v>32</v>
      </c>
      <c r="I12" s="76" t="s">
        <v>33</v>
      </c>
      <c r="J12" s="147" t="s">
        <v>32</v>
      </c>
      <c r="K12" s="147" t="s">
        <v>390</v>
      </c>
      <c r="L12" s="117">
        <v>45349</v>
      </c>
      <c r="M12" s="117">
        <v>45351</v>
      </c>
      <c r="N12" s="130">
        <f>1122.64/2</f>
        <v>561.32000000000005</v>
      </c>
      <c r="O12" s="130">
        <f>1122.64/2</f>
        <v>561.32000000000005</v>
      </c>
      <c r="P12" s="130">
        <f t="shared" ref="P12:P16" si="11">SUM(N12:O12)</f>
        <v>1122.6400000000001</v>
      </c>
      <c r="Q12" s="79">
        <v>0</v>
      </c>
      <c r="R12" s="118">
        <v>120</v>
      </c>
      <c r="S12" s="79">
        <v>0</v>
      </c>
      <c r="T12" s="118">
        <v>0</v>
      </c>
      <c r="U12" s="70">
        <f t="shared" ref="U12:U16" si="12">Q12*R12+S12*T12</f>
        <v>0</v>
      </c>
      <c r="V12" s="70">
        <f t="shared" ref="V12:V16" si="13">P12+U12</f>
        <v>1122.6400000000001</v>
      </c>
      <c r="W12" s="70">
        <f t="shared" ref="W12:W16" si="14">V12</f>
        <v>1122.6400000000001</v>
      </c>
      <c r="X12" s="79"/>
    </row>
    <row r="13" spans="1:24" s="119" customFormat="1" ht="14.5" x14ac:dyDescent="0.3">
      <c r="A13" s="126" t="s">
        <v>250</v>
      </c>
      <c r="B13" s="126" t="s">
        <v>212</v>
      </c>
      <c r="C13" s="146" t="s">
        <v>40</v>
      </c>
      <c r="D13" s="47">
        <v>129</v>
      </c>
      <c r="E13" s="110" t="s">
        <v>812</v>
      </c>
      <c r="F13" s="148" t="s">
        <v>808</v>
      </c>
      <c r="G13" s="76" t="s">
        <v>31</v>
      </c>
      <c r="H13" s="76" t="s">
        <v>32</v>
      </c>
      <c r="I13" s="76" t="s">
        <v>33</v>
      </c>
      <c r="J13" s="147" t="s">
        <v>32</v>
      </c>
      <c r="K13" s="147" t="s">
        <v>390</v>
      </c>
      <c r="L13" s="117">
        <v>45349</v>
      </c>
      <c r="M13" s="117">
        <v>45351</v>
      </c>
      <c r="N13" s="130">
        <f>1122.63/2</f>
        <v>561.31500000000005</v>
      </c>
      <c r="O13" s="130">
        <f>1122.63/2</f>
        <v>561.31500000000005</v>
      </c>
      <c r="P13" s="130">
        <f t="shared" si="11"/>
        <v>1122.6300000000001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12"/>
        <v>360</v>
      </c>
      <c r="V13" s="70">
        <f t="shared" si="13"/>
        <v>1482.63</v>
      </c>
      <c r="W13" s="70">
        <f t="shared" si="14"/>
        <v>1482.63</v>
      </c>
      <c r="X13" s="79"/>
    </row>
    <row r="14" spans="1:24" s="119" customFormat="1" ht="14.5" x14ac:dyDescent="0.3">
      <c r="A14" s="126" t="s">
        <v>250</v>
      </c>
      <c r="B14" s="126" t="s">
        <v>212</v>
      </c>
      <c r="C14" s="146" t="s">
        <v>612</v>
      </c>
      <c r="D14" s="47">
        <v>365</v>
      </c>
      <c r="E14" s="110" t="s">
        <v>52</v>
      </c>
      <c r="F14" s="148" t="s">
        <v>808</v>
      </c>
      <c r="G14" s="76" t="s">
        <v>31</v>
      </c>
      <c r="H14" s="76" t="s">
        <v>32</v>
      </c>
      <c r="I14" s="76" t="s">
        <v>33</v>
      </c>
      <c r="J14" s="147" t="s">
        <v>32</v>
      </c>
      <c r="K14" s="147" t="s">
        <v>390</v>
      </c>
      <c r="L14" s="117">
        <v>45349</v>
      </c>
      <c r="M14" s="117">
        <v>45351</v>
      </c>
      <c r="N14" s="130">
        <f>1122.64/2</f>
        <v>561.32000000000005</v>
      </c>
      <c r="O14" s="130">
        <f>1122.64/2</f>
        <v>561.32000000000005</v>
      </c>
      <c r="P14" s="130">
        <f t="shared" si="11"/>
        <v>1122.6400000000001</v>
      </c>
      <c r="Q14" s="79">
        <v>3</v>
      </c>
      <c r="R14" s="118">
        <v>120</v>
      </c>
      <c r="S14" s="79">
        <v>0</v>
      </c>
      <c r="T14" s="118">
        <v>0</v>
      </c>
      <c r="U14" s="70">
        <f t="shared" si="12"/>
        <v>360</v>
      </c>
      <c r="V14" s="70">
        <f t="shared" si="13"/>
        <v>1482.64</v>
      </c>
      <c r="W14" s="70">
        <f t="shared" si="14"/>
        <v>1482.64</v>
      </c>
      <c r="X14" s="79"/>
    </row>
    <row r="15" spans="1:24" s="119" customFormat="1" ht="14.5" x14ac:dyDescent="0.3">
      <c r="A15" s="126" t="s">
        <v>250</v>
      </c>
      <c r="B15" s="126" t="s">
        <v>212</v>
      </c>
      <c r="C15" s="146" t="s">
        <v>270</v>
      </c>
      <c r="D15" s="47" t="s">
        <v>173</v>
      </c>
      <c r="E15" s="110" t="s">
        <v>599</v>
      </c>
      <c r="F15" s="148" t="s">
        <v>808</v>
      </c>
      <c r="G15" s="76" t="s">
        <v>31</v>
      </c>
      <c r="H15" s="76" t="s">
        <v>32</v>
      </c>
      <c r="I15" s="76" t="s">
        <v>33</v>
      </c>
      <c r="J15" s="147" t="s">
        <v>32</v>
      </c>
      <c r="K15" s="147" t="s">
        <v>390</v>
      </c>
      <c r="L15" s="117">
        <v>45349</v>
      </c>
      <c r="M15" s="117">
        <v>45351</v>
      </c>
      <c r="N15" s="130">
        <f>1122.64/2</f>
        <v>561.32000000000005</v>
      </c>
      <c r="O15" s="130">
        <f>1122.64/2</f>
        <v>561.32000000000005</v>
      </c>
      <c r="P15" s="130">
        <f t="shared" si="11"/>
        <v>1122.6400000000001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2"/>
        <v>360</v>
      </c>
      <c r="V15" s="70">
        <f t="shared" si="13"/>
        <v>1482.64</v>
      </c>
      <c r="W15" s="70">
        <f t="shared" si="14"/>
        <v>1482.64</v>
      </c>
      <c r="X15" s="79"/>
    </row>
    <row r="16" spans="1:24" s="119" customFormat="1" ht="14.5" x14ac:dyDescent="0.3">
      <c r="A16" s="126" t="s">
        <v>250</v>
      </c>
      <c r="B16" s="126" t="s">
        <v>322</v>
      </c>
      <c r="C16" s="146" t="s">
        <v>323</v>
      </c>
      <c r="D16" s="47">
        <v>87</v>
      </c>
      <c r="E16" s="110" t="s">
        <v>329</v>
      </c>
      <c r="F16" s="148" t="s">
        <v>808</v>
      </c>
      <c r="G16" s="76" t="s">
        <v>31</v>
      </c>
      <c r="H16" s="76" t="s">
        <v>32</v>
      </c>
      <c r="I16" s="76" t="s">
        <v>33</v>
      </c>
      <c r="J16" s="147" t="s">
        <v>32</v>
      </c>
      <c r="K16" s="147" t="s">
        <v>390</v>
      </c>
      <c r="L16" s="117">
        <v>45349</v>
      </c>
      <c r="M16" s="117">
        <v>45351</v>
      </c>
      <c r="N16" s="130">
        <f>2726.78/2</f>
        <v>1363.39</v>
      </c>
      <c r="O16" s="130">
        <f>2726.78/2</f>
        <v>1363.39</v>
      </c>
      <c r="P16" s="130">
        <f t="shared" si="11"/>
        <v>2726.78</v>
      </c>
      <c r="Q16" s="79">
        <v>3</v>
      </c>
      <c r="R16" s="118">
        <v>120</v>
      </c>
      <c r="S16" s="79">
        <v>0</v>
      </c>
      <c r="T16" s="118">
        <v>0</v>
      </c>
      <c r="U16" s="70">
        <f t="shared" si="12"/>
        <v>360</v>
      </c>
      <c r="V16" s="70">
        <f t="shared" si="13"/>
        <v>3086.78</v>
      </c>
      <c r="W16" s="70">
        <f t="shared" si="14"/>
        <v>3086.78</v>
      </c>
      <c r="X16" s="79"/>
    </row>
    <row r="17" spans="1:24" s="119" customFormat="1" ht="14.5" x14ac:dyDescent="0.3">
      <c r="A17" s="126" t="s">
        <v>250</v>
      </c>
      <c r="B17" s="126" t="s">
        <v>250</v>
      </c>
      <c r="C17" s="146" t="s">
        <v>670</v>
      </c>
      <c r="D17" s="47">
        <v>383</v>
      </c>
      <c r="E17" s="110" t="s">
        <v>703</v>
      </c>
      <c r="F17" s="148" t="s">
        <v>809</v>
      </c>
      <c r="G17" s="76" t="s">
        <v>31</v>
      </c>
      <c r="H17" s="76" t="s">
        <v>32</v>
      </c>
      <c r="I17" s="76" t="s">
        <v>33</v>
      </c>
      <c r="J17" s="147" t="s">
        <v>61</v>
      </c>
      <c r="K17" s="147" t="s">
        <v>413</v>
      </c>
      <c r="L17" s="117">
        <v>45342</v>
      </c>
      <c r="M17" s="117">
        <v>45343</v>
      </c>
      <c r="N17" s="130">
        <f>2941.87/2</f>
        <v>1470.9349999999999</v>
      </c>
      <c r="O17" s="130">
        <f>2941.87/2</f>
        <v>1470.9349999999999</v>
      </c>
      <c r="P17" s="130">
        <f t="shared" ref="P17" si="15">SUM(N17:O17)</f>
        <v>2941.87</v>
      </c>
      <c r="Q17" s="79">
        <v>2</v>
      </c>
      <c r="R17" s="118">
        <v>120</v>
      </c>
      <c r="S17" s="79">
        <v>0</v>
      </c>
      <c r="T17" s="118">
        <v>0</v>
      </c>
      <c r="U17" s="70">
        <f t="shared" ref="U17" si="16">Q17*R17+S17*T17</f>
        <v>240</v>
      </c>
      <c r="V17" s="70">
        <f t="shared" ref="V17" si="17">P17+U17</f>
        <v>3181.87</v>
      </c>
      <c r="W17" s="70">
        <f t="shared" ref="W17" si="18">V17</f>
        <v>3181.87</v>
      </c>
      <c r="X17" s="79"/>
    </row>
    <row r="18" spans="1:24" s="119" customFormat="1" ht="14.5" x14ac:dyDescent="0.3">
      <c r="A18" s="126" t="s">
        <v>250</v>
      </c>
      <c r="B18" s="126" t="s">
        <v>289</v>
      </c>
      <c r="C18" s="146" t="s">
        <v>236</v>
      </c>
      <c r="D18" s="47">
        <v>82</v>
      </c>
      <c r="E18" s="110" t="s">
        <v>89</v>
      </c>
      <c r="F18" s="148" t="s">
        <v>809</v>
      </c>
      <c r="G18" s="76" t="s">
        <v>31</v>
      </c>
      <c r="H18" s="76" t="s">
        <v>32</v>
      </c>
      <c r="I18" s="76" t="s">
        <v>33</v>
      </c>
      <c r="J18" s="147" t="s">
        <v>61</v>
      </c>
      <c r="K18" s="147" t="s">
        <v>413</v>
      </c>
      <c r="L18" s="117">
        <v>45342</v>
      </c>
      <c r="M18" s="117">
        <v>45343</v>
      </c>
      <c r="N18" s="130">
        <f>2941.87/2</f>
        <v>1470.9349999999999</v>
      </c>
      <c r="O18" s="130">
        <f>2941.87/2</f>
        <v>1470.9349999999999</v>
      </c>
      <c r="P18" s="130">
        <f t="shared" ref="P18" si="19">SUM(N18:O18)</f>
        <v>2941.87</v>
      </c>
      <c r="Q18" s="79">
        <v>2</v>
      </c>
      <c r="R18" s="118">
        <v>120</v>
      </c>
      <c r="S18" s="79">
        <v>0</v>
      </c>
      <c r="T18" s="118">
        <v>0</v>
      </c>
      <c r="U18" s="70">
        <f t="shared" ref="U18" si="20">Q18*R18+S18*T18</f>
        <v>240</v>
      </c>
      <c r="V18" s="70">
        <f t="shared" ref="V18" si="21">P18+U18</f>
        <v>3181.87</v>
      </c>
      <c r="W18" s="70">
        <f t="shared" ref="W18" si="22">V18</f>
        <v>3181.87</v>
      </c>
      <c r="X18" s="79"/>
    </row>
    <row r="19" spans="1:24" s="119" customFormat="1" ht="14.5" x14ac:dyDescent="0.3">
      <c r="A19" s="126" t="s">
        <v>229</v>
      </c>
      <c r="B19" s="126" t="s">
        <v>214</v>
      </c>
      <c r="C19" s="146" t="s">
        <v>745</v>
      </c>
      <c r="D19" s="47">
        <v>386</v>
      </c>
      <c r="E19" s="110" t="s">
        <v>221</v>
      </c>
      <c r="F19" s="148" t="s">
        <v>810</v>
      </c>
      <c r="G19" s="76" t="s">
        <v>31</v>
      </c>
      <c r="H19" s="76" t="s">
        <v>32</v>
      </c>
      <c r="I19" s="76" t="s">
        <v>33</v>
      </c>
      <c r="J19" s="147" t="s">
        <v>38</v>
      </c>
      <c r="K19" s="147" t="s">
        <v>39</v>
      </c>
      <c r="L19" s="117">
        <v>45349</v>
      </c>
      <c r="M19" s="117">
        <v>45350</v>
      </c>
      <c r="N19" s="130">
        <f>3223.89/2</f>
        <v>1611.9449999999999</v>
      </c>
      <c r="O19" s="130">
        <f>3223.89/2</f>
        <v>1611.9449999999999</v>
      </c>
      <c r="P19" s="130">
        <f t="shared" ref="P19" si="23">SUM(N19:O19)</f>
        <v>3223.89</v>
      </c>
      <c r="Q19" s="79">
        <v>2</v>
      </c>
      <c r="R19" s="118">
        <v>120</v>
      </c>
      <c r="S19" s="79">
        <v>0</v>
      </c>
      <c r="T19" s="118">
        <v>0</v>
      </c>
      <c r="U19" s="70">
        <f t="shared" ref="U19" si="24">Q19*R19+S19*T19</f>
        <v>240</v>
      </c>
      <c r="V19" s="70">
        <f t="shared" ref="V19:V20" si="25">P19+U19</f>
        <v>3463.89</v>
      </c>
      <c r="W19" s="70">
        <f t="shared" ref="W19:W20" si="26">V19</f>
        <v>3463.89</v>
      </c>
      <c r="X19" s="79"/>
    </row>
    <row r="20" spans="1:24" ht="14.5" x14ac:dyDescent="0.3">
      <c r="A20" s="408" t="s">
        <v>229</v>
      </c>
      <c r="B20" s="417" t="s">
        <v>229</v>
      </c>
      <c r="C20" s="434" t="s">
        <v>698</v>
      </c>
      <c r="D20" s="421">
        <v>0</v>
      </c>
      <c r="E20" s="417" t="s">
        <v>561</v>
      </c>
      <c r="F20" s="424" t="s">
        <v>811</v>
      </c>
      <c r="G20" s="76" t="s">
        <v>31</v>
      </c>
      <c r="H20" s="76" t="s">
        <v>32</v>
      </c>
      <c r="I20" s="76" t="s">
        <v>33</v>
      </c>
      <c r="J20" s="128" t="s">
        <v>121</v>
      </c>
      <c r="K20" s="128" t="s">
        <v>62</v>
      </c>
      <c r="L20" s="129">
        <v>45347</v>
      </c>
      <c r="M20" s="129">
        <v>45349</v>
      </c>
      <c r="N20" s="404">
        <f>(1185.19+2838.3)/3</f>
        <v>1341.1633333333334</v>
      </c>
      <c r="O20" s="404">
        <f>(1185.19+2838.3)/3</f>
        <v>1341.1633333333334</v>
      </c>
      <c r="P20" s="404">
        <f>SUM(N20:O22)</f>
        <v>2682.3266666666668</v>
      </c>
      <c r="Q20" s="414">
        <v>0</v>
      </c>
      <c r="R20" s="404">
        <v>0</v>
      </c>
      <c r="S20" s="414">
        <v>0</v>
      </c>
      <c r="T20" s="404">
        <v>0</v>
      </c>
      <c r="U20" s="414">
        <v>0</v>
      </c>
      <c r="V20" s="395">
        <f t="shared" si="25"/>
        <v>2682.3266666666668</v>
      </c>
      <c r="W20" s="395">
        <f t="shared" si="26"/>
        <v>2682.3266666666668</v>
      </c>
      <c r="X20" s="402"/>
    </row>
    <row r="21" spans="1:24" ht="14.5" x14ac:dyDescent="0.3">
      <c r="A21" s="416"/>
      <c r="B21" s="418"/>
      <c r="C21" s="420"/>
      <c r="D21" s="422"/>
      <c r="E21" s="418"/>
      <c r="F21" s="425"/>
      <c r="G21" s="76" t="s">
        <v>31</v>
      </c>
      <c r="H21" s="128" t="s">
        <v>121</v>
      </c>
      <c r="I21" s="128" t="s">
        <v>62</v>
      </c>
      <c r="J21" s="147" t="s">
        <v>38</v>
      </c>
      <c r="K21" s="147" t="s">
        <v>39</v>
      </c>
      <c r="L21" s="129">
        <v>45349</v>
      </c>
      <c r="M21" s="129">
        <v>45350</v>
      </c>
      <c r="N21" s="413"/>
      <c r="O21" s="413"/>
      <c r="P21" s="413"/>
      <c r="Q21" s="414"/>
      <c r="R21" s="413"/>
      <c r="S21" s="414"/>
      <c r="T21" s="413"/>
      <c r="U21" s="414"/>
      <c r="V21" s="415"/>
      <c r="W21" s="415"/>
      <c r="X21" s="402"/>
    </row>
    <row r="22" spans="1:24" ht="14.5" x14ac:dyDescent="0.3">
      <c r="A22" s="409"/>
      <c r="B22" s="419"/>
      <c r="C22" s="420"/>
      <c r="D22" s="423"/>
      <c r="E22" s="419"/>
      <c r="F22" s="426"/>
      <c r="G22" s="76" t="s">
        <v>31</v>
      </c>
      <c r="H22" s="147" t="s">
        <v>38</v>
      </c>
      <c r="I22" s="147" t="s">
        <v>39</v>
      </c>
      <c r="J22" s="76" t="s">
        <v>32</v>
      </c>
      <c r="K22" s="76" t="s">
        <v>33</v>
      </c>
      <c r="L22" s="129">
        <v>45350</v>
      </c>
      <c r="M22" s="129">
        <v>45350</v>
      </c>
      <c r="N22" s="405"/>
      <c r="O22" s="405"/>
      <c r="P22" s="405"/>
      <c r="Q22" s="414"/>
      <c r="R22" s="405"/>
      <c r="S22" s="414"/>
      <c r="T22" s="405"/>
      <c r="U22" s="414"/>
      <c r="V22" s="396"/>
      <c r="W22" s="396"/>
      <c r="X22" s="402"/>
    </row>
  </sheetData>
  <mergeCells count="43">
    <mergeCell ref="W20:W22"/>
    <mergeCell ref="X20:X22"/>
    <mergeCell ref="O20:O22"/>
    <mergeCell ref="P20:P22"/>
    <mergeCell ref="Q20:Q22"/>
    <mergeCell ref="R20:R22"/>
    <mergeCell ref="T20:T22"/>
    <mergeCell ref="S20:S22"/>
    <mergeCell ref="Q3:R3"/>
    <mergeCell ref="S3:T3"/>
    <mergeCell ref="U3:U4"/>
    <mergeCell ref="V3:V4"/>
    <mergeCell ref="U20:U22"/>
    <mergeCell ref="V20:V22"/>
    <mergeCell ref="M3:M4"/>
    <mergeCell ref="N3:N4"/>
    <mergeCell ref="A20:A22"/>
    <mergeCell ref="B20:B22"/>
    <mergeCell ref="C20:C22"/>
    <mergeCell ref="D20:D22"/>
    <mergeCell ref="E20:E22"/>
    <mergeCell ref="N20:N22"/>
    <mergeCell ref="G3:G4"/>
    <mergeCell ref="H3:I3"/>
    <mergeCell ref="F20:F22"/>
    <mergeCell ref="J3:K3"/>
    <mergeCell ref="L3:L4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3E339-B183-40E4-BE7D-C4608041C949}">
  <dimension ref="A1:X16"/>
  <sheetViews>
    <sheetView workbookViewId="0">
      <selection activeCell="D6" sqref="D6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92"/>
      <c r="B4" s="392"/>
      <c r="C4" s="392"/>
      <c r="D4" s="392"/>
      <c r="E4" s="392"/>
      <c r="F4" s="392"/>
      <c r="G4" s="392"/>
      <c r="H4" s="10" t="s">
        <v>27</v>
      </c>
      <c r="I4" s="10" t="s">
        <v>28</v>
      </c>
      <c r="J4" s="10" t="s">
        <v>27</v>
      </c>
      <c r="K4" s="11" t="s">
        <v>29</v>
      </c>
      <c r="L4" s="392"/>
      <c r="M4" s="392"/>
      <c r="N4" s="393"/>
      <c r="O4" s="393"/>
      <c r="P4" s="393"/>
      <c r="Q4" s="10" t="s">
        <v>2</v>
      </c>
      <c r="R4" s="11" t="s">
        <v>30</v>
      </c>
      <c r="S4" s="10" t="s">
        <v>2</v>
      </c>
      <c r="T4" s="11" t="s">
        <v>30</v>
      </c>
      <c r="U4" s="392"/>
      <c r="V4" s="393"/>
      <c r="W4" s="394"/>
      <c r="X4" s="391"/>
    </row>
    <row r="5" spans="1:24" s="119" customFormat="1" ht="14.5" x14ac:dyDescent="0.3">
      <c r="A5" s="126" t="s">
        <v>250</v>
      </c>
      <c r="B5" s="126" t="s">
        <v>250</v>
      </c>
      <c r="C5" s="149" t="s">
        <v>378</v>
      </c>
      <c r="D5" s="47">
        <v>0</v>
      </c>
      <c r="E5" s="110" t="s">
        <v>55</v>
      </c>
      <c r="F5" s="150" t="s">
        <v>813</v>
      </c>
      <c r="G5" s="76" t="s">
        <v>31</v>
      </c>
      <c r="H5" s="76" t="s">
        <v>32</v>
      </c>
      <c r="I5" s="76" t="s">
        <v>33</v>
      </c>
      <c r="J5" s="149" t="s">
        <v>335</v>
      </c>
      <c r="K5" s="149" t="s">
        <v>334</v>
      </c>
      <c r="L5" s="117">
        <v>45362</v>
      </c>
      <c r="M5" s="117">
        <v>45364</v>
      </c>
      <c r="N5" s="130">
        <f t="shared" ref="N5:O7" si="0">3822.16/2</f>
        <v>1911.08</v>
      </c>
      <c r="O5" s="130">
        <f t="shared" si="0"/>
        <v>1911.08</v>
      </c>
      <c r="P5" s="130">
        <f t="shared" ref="P5:P16" si="1">SUM(N5:O5)</f>
        <v>3822.16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16" si="2">Q5*R5+S5*T5</f>
        <v>0</v>
      </c>
      <c r="V5" s="70">
        <f t="shared" ref="V5:V16" si="3">P5+U5</f>
        <v>3822.16</v>
      </c>
      <c r="W5" s="70">
        <f t="shared" ref="W5:W16" si="4">V5</f>
        <v>3822.16</v>
      </c>
      <c r="X5" s="79"/>
    </row>
    <row r="6" spans="1:24" s="119" customFormat="1" ht="14.5" x14ac:dyDescent="0.3">
      <c r="A6" s="126" t="s">
        <v>250</v>
      </c>
      <c r="B6" s="126" t="s">
        <v>258</v>
      </c>
      <c r="C6" s="149" t="s">
        <v>802</v>
      </c>
      <c r="D6" s="47">
        <v>404</v>
      </c>
      <c r="E6" s="110" t="s">
        <v>804</v>
      </c>
      <c r="F6" s="148" t="s">
        <v>813</v>
      </c>
      <c r="G6" s="76" t="s">
        <v>31</v>
      </c>
      <c r="H6" s="76" t="s">
        <v>32</v>
      </c>
      <c r="I6" s="76" t="s">
        <v>33</v>
      </c>
      <c r="J6" s="149" t="s">
        <v>335</v>
      </c>
      <c r="K6" s="147" t="s">
        <v>334</v>
      </c>
      <c r="L6" s="117">
        <v>45362</v>
      </c>
      <c r="M6" s="117">
        <v>45364</v>
      </c>
      <c r="N6" s="130">
        <f t="shared" si="0"/>
        <v>1911.08</v>
      </c>
      <c r="O6" s="130">
        <f t="shared" si="0"/>
        <v>1911.08</v>
      </c>
      <c r="P6" s="130">
        <f t="shared" si="1"/>
        <v>3822.16</v>
      </c>
      <c r="Q6" s="79">
        <v>3</v>
      </c>
      <c r="R6" s="118">
        <v>120</v>
      </c>
      <c r="S6" s="79">
        <v>0</v>
      </c>
      <c r="T6" s="118">
        <v>0</v>
      </c>
      <c r="U6" s="70">
        <f t="shared" si="2"/>
        <v>360</v>
      </c>
      <c r="V6" s="70">
        <f t="shared" si="3"/>
        <v>4182.16</v>
      </c>
      <c r="W6" s="70">
        <f t="shared" si="4"/>
        <v>4182.16</v>
      </c>
      <c r="X6" s="79"/>
    </row>
    <row r="7" spans="1:24" s="119" customFormat="1" ht="14.5" x14ac:dyDescent="0.3">
      <c r="A7" s="126" t="s">
        <v>250</v>
      </c>
      <c r="B7" s="126" t="s">
        <v>250</v>
      </c>
      <c r="C7" s="149" t="s">
        <v>670</v>
      </c>
      <c r="D7" s="47">
        <v>383</v>
      </c>
      <c r="E7" s="110" t="s">
        <v>703</v>
      </c>
      <c r="F7" s="148" t="s">
        <v>813</v>
      </c>
      <c r="G7" s="76" t="s">
        <v>31</v>
      </c>
      <c r="H7" s="76" t="s">
        <v>32</v>
      </c>
      <c r="I7" s="76" t="s">
        <v>33</v>
      </c>
      <c r="J7" s="149" t="s">
        <v>335</v>
      </c>
      <c r="K7" s="147" t="s">
        <v>334</v>
      </c>
      <c r="L7" s="117">
        <v>45362</v>
      </c>
      <c r="M7" s="117">
        <v>45364</v>
      </c>
      <c r="N7" s="130">
        <f t="shared" si="0"/>
        <v>1911.08</v>
      </c>
      <c r="O7" s="130">
        <f t="shared" si="0"/>
        <v>1911.08</v>
      </c>
      <c r="P7" s="130">
        <f t="shared" si="1"/>
        <v>3822.16</v>
      </c>
      <c r="Q7" s="79">
        <v>3</v>
      </c>
      <c r="R7" s="118">
        <v>120</v>
      </c>
      <c r="S7" s="79">
        <v>0</v>
      </c>
      <c r="T7" s="118">
        <v>0</v>
      </c>
      <c r="U7" s="70">
        <f t="shared" si="2"/>
        <v>360</v>
      </c>
      <c r="V7" s="70">
        <f t="shared" si="3"/>
        <v>4182.16</v>
      </c>
      <c r="W7" s="70">
        <f t="shared" si="4"/>
        <v>4182.16</v>
      </c>
      <c r="X7" s="79"/>
    </row>
    <row r="8" spans="1:24" s="119" customFormat="1" ht="14.5" x14ac:dyDescent="0.3">
      <c r="A8" s="126" t="s">
        <v>229</v>
      </c>
      <c r="B8" s="126" t="s">
        <v>215</v>
      </c>
      <c r="C8" s="146" t="s">
        <v>48</v>
      </c>
      <c r="D8" s="47">
        <v>56</v>
      </c>
      <c r="E8" s="149" t="s">
        <v>615</v>
      </c>
      <c r="F8" s="150" t="s">
        <v>814</v>
      </c>
      <c r="G8" s="76" t="s">
        <v>31</v>
      </c>
      <c r="H8" s="76" t="s">
        <v>32</v>
      </c>
      <c r="I8" s="76" t="s">
        <v>33</v>
      </c>
      <c r="J8" s="149" t="s">
        <v>61</v>
      </c>
      <c r="K8" s="149" t="s">
        <v>62</v>
      </c>
      <c r="L8" s="117">
        <v>45357</v>
      </c>
      <c r="M8" s="117">
        <v>45359</v>
      </c>
      <c r="N8" s="130">
        <f>1732.84/2</f>
        <v>866.42</v>
      </c>
      <c r="O8" s="130">
        <f>1732.84/2</f>
        <v>866.42</v>
      </c>
      <c r="P8" s="130">
        <f t="shared" si="1"/>
        <v>1732.84</v>
      </c>
      <c r="Q8" s="79">
        <v>3</v>
      </c>
      <c r="R8" s="118">
        <v>120</v>
      </c>
      <c r="S8" s="79">
        <v>0</v>
      </c>
      <c r="T8" s="118">
        <v>0</v>
      </c>
      <c r="U8" s="70">
        <f t="shared" si="2"/>
        <v>360</v>
      </c>
      <c r="V8" s="70">
        <f t="shared" si="3"/>
        <v>2092.84</v>
      </c>
      <c r="W8" s="70">
        <f t="shared" si="4"/>
        <v>2092.84</v>
      </c>
      <c r="X8" s="79"/>
    </row>
    <row r="9" spans="1:24" s="119" customFormat="1" ht="14.5" x14ac:dyDescent="0.3">
      <c r="A9" s="126" t="s">
        <v>229</v>
      </c>
      <c r="B9" s="126" t="s">
        <v>229</v>
      </c>
      <c r="C9" s="146" t="s">
        <v>698</v>
      </c>
      <c r="D9" s="47">
        <v>0</v>
      </c>
      <c r="E9" s="110" t="s">
        <v>561</v>
      </c>
      <c r="F9" s="148" t="s">
        <v>814</v>
      </c>
      <c r="G9" s="76" t="s">
        <v>31</v>
      </c>
      <c r="H9" s="76" t="s">
        <v>32</v>
      </c>
      <c r="I9" s="76" t="s">
        <v>33</v>
      </c>
      <c r="J9" s="149" t="s">
        <v>61</v>
      </c>
      <c r="K9" s="149" t="s">
        <v>62</v>
      </c>
      <c r="L9" s="117">
        <v>45357</v>
      </c>
      <c r="M9" s="117">
        <v>45359</v>
      </c>
      <c r="N9" s="130">
        <f>1529.38/2</f>
        <v>764.69</v>
      </c>
      <c r="O9" s="130">
        <f>1529.38/2</f>
        <v>764.69</v>
      </c>
      <c r="P9" s="130">
        <f t="shared" si="1"/>
        <v>1529.38</v>
      </c>
      <c r="Q9" s="79">
        <v>0</v>
      </c>
      <c r="R9" s="118">
        <v>120</v>
      </c>
      <c r="S9" s="79">
        <v>0</v>
      </c>
      <c r="T9" s="118">
        <v>0</v>
      </c>
      <c r="U9" s="70">
        <f t="shared" si="2"/>
        <v>0</v>
      </c>
      <c r="V9" s="70">
        <f t="shared" si="3"/>
        <v>1529.38</v>
      </c>
      <c r="W9" s="70">
        <f t="shared" si="4"/>
        <v>1529.38</v>
      </c>
      <c r="X9" s="79"/>
    </row>
    <row r="10" spans="1:24" s="119" customFormat="1" ht="14.5" x14ac:dyDescent="0.3">
      <c r="A10" s="126" t="s">
        <v>229</v>
      </c>
      <c r="B10" s="126" t="s">
        <v>362</v>
      </c>
      <c r="C10" s="146" t="s">
        <v>788</v>
      </c>
      <c r="D10" s="47">
        <v>393</v>
      </c>
      <c r="E10" s="144" t="s">
        <v>796</v>
      </c>
      <c r="F10" s="148" t="s">
        <v>815</v>
      </c>
      <c r="G10" s="76" t="s">
        <v>31</v>
      </c>
      <c r="H10" s="76" t="s">
        <v>32</v>
      </c>
      <c r="I10" s="76" t="s">
        <v>33</v>
      </c>
      <c r="J10" s="149" t="s">
        <v>335</v>
      </c>
      <c r="K10" s="149" t="s">
        <v>334</v>
      </c>
      <c r="L10" s="117">
        <v>45363</v>
      </c>
      <c r="M10" s="117">
        <v>45366</v>
      </c>
      <c r="N10" s="130">
        <f>2729.51/2</f>
        <v>1364.7550000000001</v>
      </c>
      <c r="O10" s="130">
        <f>2729.51/2</f>
        <v>1364.7550000000001</v>
      </c>
      <c r="P10" s="130">
        <f t="shared" si="1"/>
        <v>2729.51</v>
      </c>
      <c r="Q10" s="79">
        <v>4</v>
      </c>
      <c r="R10" s="118">
        <v>120</v>
      </c>
      <c r="S10" s="79">
        <v>0</v>
      </c>
      <c r="T10" s="118">
        <v>0</v>
      </c>
      <c r="U10" s="70">
        <f t="shared" si="2"/>
        <v>480</v>
      </c>
      <c r="V10" s="70">
        <f t="shared" si="3"/>
        <v>3209.51</v>
      </c>
      <c r="W10" s="70">
        <f t="shared" si="4"/>
        <v>3209.51</v>
      </c>
      <c r="X10" s="79"/>
    </row>
    <row r="11" spans="1:24" s="119" customFormat="1" ht="14.5" x14ac:dyDescent="0.3">
      <c r="A11" s="126" t="s">
        <v>229</v>
      </c>
      <c r="B11" s="126" t="s">
        <v>759</v>
      </c>
      <c r="C11" s="146" t="s">
        <v>729</v>
      </c>
      <c r="D11" s="47">
        <v>390</v>
      </c>
      <c r="E11" s="110" t="s">
        <v>783</v>
      </c>
      <c r="F11" s="148" t="s">
        <v>815</v>
      </c>
      <c r="G11" s="76" t="s">
        <v>31</v>
      </c>
      <c r="H11" s="76" t="s">
        <v>32</v>
      </c>
      <c r="I11" s="76" t="s">
        <v>33</v>
      </c>
      <c r="J11" s="149" t="s">
        <v>335</v>
      </c>
      <c r="K11" s="149" t="s">
        <v>334</v>
      </c>
      <c r="L11" s="117">
        <v>45363</v>
      </c>
      <c r="M11" s="117">
        <v>45366</v>
      </c>
      <c r="N11" s="130">
        <f>2729.51/2</f>
        <v>1364.7550000000001</v>
      </c>
      <c r="O11" s="130">
        <f>2729.51/2</f>
        <v>1364.7550000000001</v>
      </c>
      <c r="P11" s="130">
        <f t="shared" si="1"/>
        <v>2729.51</v>
      </c>
      <c r="Q11" s="79">
        <v>4</v>
      </c>
      <c r="R11" s="118">
        <v>120</v>
      </c>
      <c r="S11" s="79">
        <v>0</v>
      </c>
      <c r="T11" s="118">
        <v>0</v>
      </c>
      <c r="U11" s="70">
        <f t="shared" si="2"/>
        <v>480</v>
      </c>
      <c r="V11" s="70">
        <f t="shared" si="3"/>
        <v>3209.51</v>
      </c>
      <c r="W11" s="70">
        <f t="shared" si="4"/>
        <v>3209.51</v>
      </c>
      <c r="X11" s="79"/>
    </row>
    <row r="12" spans="1:24" s="119" customFormat="1" ht="14.5" x14ac:dyDescent="0.3">
      <c r="A12" s="126" t="s">
        <v>250</v>
      </c>
      <c r="B12" s="126" t="s">
        <v>322</v>
      </c>
      <c r="C12" s="146" t="s">
        <v>320</v>
      </c>
      <c r="D12" s="47">
        <v>204</v>
      </c>
      <c r="E12" s="149" t="s">
        <v>647</v>
      </c>
      <c r="F12" s="150" t="s">
        <v>816</v>
      </c>
      <c r="G12" s="76" t="s">
        <v>31</v>
      </c>
      <c r="H12" s="76" t="s">
        <v>32</v>
      </c>
      <c r="I12" s="76" t="s">
        <v>33</v>
      </c>
      <c r="J12" s="149" t="s">
        <v>61</v>
      </c>
      <c r="K12" s="149" t="s">
        <v>62</v>
      </c>
      <c r="L12" s="117">
        <v>45370</v>
      </c>
      <c r="M12" s="117">
        <v>45372</v>
      </c>
      <c r="N12" s="130">
        <f>2348.22/2</f>
        <v>1174.1099999999999</v>
      </c>
      <c r="O12" s="130">
        <f>2348.22/2</f>
        <v>1174.1099999999999</v>
      </c>
      <c r="P12" s="130">
        <f t="shared" si="1"/>
        <v>2348.2199999999998</v>
      </c>
      <c r="Q12" s="79">
        <v>3</v>
      </c>
      <c r="R12" s="118">
        <v>120</v>
      </c>
      <c r="S12" s="79">
        <v>0</v>
      </c>
      <c r="T12" s="118">
        <v>0</v>
      </c>
      <c r="U12" s="70">
        <f t="shared" si="2"/>
        <v>360</v>
      </c>
      <c r="V12" s="70">
        <f t="shared" si="3"/>
        <v>2708.22</v>
      </c>
      <c r="W12" s="70">
        <f t="shared" si="4"/>
        <v>2708.22</v>
      </c>
      <c r="X12" s="79"/>
    </row>
    <row r="13" spans="1:24" s="119" customFormat="1" ht="14.5" x14ac:dyDescent="0.3">
      <c r="A13" s="126" t="s">
        <v>372</v>
      </c>
      <c r="B13" s="126" t="s">
        <v>272</v>
      </c>
      <c r="C13" s="146" t="s">
        <v>282</v>
      </c>
      <c r="D13" s="47">
        <v>236</v>
      </c>
      <c r="E13" s="149" t="s">
        <v>210</v>
      </c>
      <c r="F13" s="148" t="s">
        <v>817</v>
      </c>
      <c r="G13" s="76" t="s">
        <v>31</v>
      </c>
      <c r="H13" s="76" t="s">
        <v>32</v>
      </c>
      <c r="I13" s="76" t="s">
        <v>33</v>
      </c>
      <c r="J13" s="147" t="s">
        <v>32</v>
      </c>
      <c r="K13" s="147" t="s">
        <v>390</v>
      </c>
      <c r="L13" s="117">
        <v>45371</v>
      </c>
      <c r="M13" s="117">
        <v>45372</v>
      </c>
      <c r="N13" s="130">
        <f>1490.09/2</f>
        <v>745.04499999999996</v>
      </c>
      <c r="O13" s="130">
        <f>1490.09/2</f>
        <v>745.04499999999996</v>
      </c>
      <c r="P13" s="130">
        <f t="shared" si="1"/>
        <v>1490.09</v>
      </c>
      <c r="Q13" s="79">
        <v>2</v>
      </c>
      <c r="R13" s="118">
        <v>120</v>
      </c>
      <c r="S13" s="79">
        <v>0</v>
      </c>
      <c r="T13" s="118">
        <v>0</v>
      </c>
      <c r="U13" s="70">
        <f t="shared" si="2"/>
        <v>240</v>
      </c>
      <c r="V13" s="70">
        <f t="shared" si="3"/>
        <v>1730.09</v>
      </c>
      <c r="W13" s="70">
        <f t="shared" si="4"/>
        <v>1730.09</v>
      </c>
      <c r="X13" s="79"/>
    </row>
    <row r="14" spans="1:24" s="119" customFormat="1" ht="14.5" x14ac:dyDescent="0.3">
      <c r="A14" s="126" t="s">
        <v>229</v>
      </c>
      <c r="B14" s="126" t="s">
        <v>229</v>
      </c>
      <c r="C14" s="146" t="s">
        <v>698</v>
      </c>
      <c r="D14" s="47">
        <v>0</v>
      </c>
      <c r="E14" s="110" t="s">
        <v>561</v>
      </c>
      <c r="F14" s="148" t="s">
        <v>818</v>
      </c>
      <c r="G14" s="76" t="s">
        <v>31</v>
      </c>
      <c r="H14" s="76" t="s">
        <v>32</v>
      </c>
      <c r="I14" s="76" t="s">
        <v>33</v>
      </c>
      <c r="J14" s="149" t="s">
        <v>61</v>
      </c>
      <c r="K14" s="149" t="s">
        <v>62</v>
      </c>
      <c r="L14" s="117">
        <v>45363</v>
      </c>
      <c r="M14" s="117">
        <v>45363</v>
      </c>
      <c r="N14" s="130">
        <f>2248.01/2</f>
        <v>1124.0050000000001</v>
      </c>
      <c r="O14" s="130">
        <f>2248.01/2</f>
        <v>1124.0050000000001</v>
      </c>
      <c r="P14" s="130">
        <f t="shared" si="1"/>
        <v>2248.0100000000002</v>
      </c>
      <c r="Q14" s="79">
        <v>0</v>
      </c>
      <c r="R14" s="118">
        <v>120</v>
      </c>
      <c r="S14" s="79">
        <v>0</v>
      </c>
      <c r="T14" s="118">
        <v>0</v>
      </c>
      <c r="U14" s="70">
        <f t="shared" si="2"/>
        <v>0</v>
      </c>
      <c r="V14" s="70">
        <f t="shared" si="3"/>
        <v>2248.0100000000002</v>
      </c>
      <c r="W14" s="70">
        <f t="shared" si="4"/>
        <v>2248.0100000000002</v>
      </c>
      <c r="X14" s="79"/>
    </row>
    <row r="15" spans="1:24" s="119" customFormat="1" ht="14.5" x14ac:dyDescent="0.3">
      <c r="A15" s="126" t="s">
        <v>229</v>
      </c>
      <c r="B15" s="126" t="s">
        <v>229</v>
      </c>
      <c r="C15" s="146" t="s">
        <v>698</v>
      </c>
      <c r="D15" s="47">
        <v>0</v>
      </c>
      <c r="E15" s="110" t="s">
        <v>561</v>
      </c>
      <c r="F15" s="148" t="s">
        <v>818</v>
      </c>
      <c r="G15" s="76" t="s">
        <v>31</v>
      </c>
      <c r="H15" s="76" t="s">
        <v>32</v>
      </c>
      <c r="I15" s="76" t="s">
        <v>33</v>
      </c>
      <c r="J15" s="149" t="s">
        <v>335</v>
      </c>
      <c r="K15" s="147" t="s">
        <v>334</v>
      </c>
      <c r="L15" s="117">
        <v>45366</v>
      </c>
      <c r="M15" s="117">
        <v>45366</v>
      </c>
      <c r="N15" s="130">
        <f>1101.52/2</f>
        <v>550.76</v>
      </c>
      <c r="O15" s="130">
        <f>1101.52/2</f>
        <v>550.76</v>
      </c>
      <c r="P15" s="130">
        <f t="shared" si="1"/>
        <v>1101.52</v>
      </c>
      <c r="Q15" s="79">
        <v>0</v>
      </c>
      <c r="R15" s="118">
        <v>120</v>
      </c>
      <c r="S15" s="79">
        <v>0</v>
      </c>
      <c r="T15" s="118">
        <v>0</v>
      </c>
      <c r="U15" s="70">
        <f t="shared" si="2"/>
        <v>0</v>
      </c>
      <c r="V15" s="70">
        <f t="shared" si="3"/>
        <v>1101.52</v>
      </c>
      <c r="W15" s="70">
        <f t="shared" si="4"/>
        <v>1101.52</v>
      </c>
      <c r="X15" s="79"/>
    </row>
    <row r="16" spans="1:24" s="119" customFormat="1" ht="14.5" x14ac:dyDescent="0.3">
      <c r="A16" s="126" t="s">
        <v>372</v>
      </c>
      <c r="B16" s="126" t="s">
        <v>372</v>
      </c>
      <c r="C16" s="146" t="s">
        <v>819</v>
      </c>
      <c r="D16" s="47">
        <v>0</v>
      </c>
      <c r="E16" s="149" t="s">
        <v>88</v>
      </c>
      <c r="F16" s="150" t="s">
        <v>821</v>
      </c>
      <c r="G16" s="76" t="s">
        <v>31</v>
      </c>
      <c r="H16" s="149" t="s">
        <v>111</v>
      </c>
      <c r="I16" s="149" t="s">
        <v>820</v>
      </c>
      <c r="J16" s="149" t="s">
        <v>61</v>
      </c>
      <c r="K16" s="149" t="s">
        <v>62</v>
      </c>
      <c r="L16" s="117">
        <v>45376</v>
      </c>
      <c r="M16" s="117">
        <v>46473</v>
      </c>
      <c r="N16" s="130">
        <f>2608.14/2</f>
        <v>1304.07</v>
      </c>
      <c r="O16" s="130">
        <f>2608.14/2</f>
        <v>1304.07</v>
      </c>
      <c r="P16" s="130">
        <f t="shared" si="1"/>
        <v>2608.14</v>
      </c>
      <c r="Q16" s="79">
        <v>0</v>
      </c>
      <c r="R16" s="118">
        <v>120</v>
      </c>
      <c r="S16" s="79">
        <v>0</v>
      </c>
      <c r="T16" s="118">
        <v>0</v>
      </c>
      <c r="U16" s="70">
        <f t="shared" si="2"/>
        <v>0</v>
      </c>
      <c r="V16" s="70">
        <f t="shared" si="3"/>
        <v>2608.14</v>
      </c>
      <c r="W16" s="70">
        <f t="shared" si="4"/>
        <v>2608.14</v>
      </c>
      <c r="X16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16621-CB5E-41C6-A684-3E74EF44ACFA}">
  <dimension ref="A1:X15"/>
  <sheetViews>
    <sheetView workbookViewId="0">
      <selection activeCell="D6" sqref="D6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92"/>
      <c r="B4" s="392"/>
      <c r="C4" s="392"/>
      <c r="D4" s="392"/>
      <c r="E4" s="392"/>
      <c r="F4" s="392"/>
      <c r="G4" s="392"/>
      <c r="H4" s="10" t="s">
        <v>27</v>
      </c>
      <c r="I4" s="10" t="s">
        <v>28</v>
      </c>
      <c r="J4" s="10" t="s">
        <v>27</v>
      </c>
      <c r="K4" s="11" t="s">
        <v>29</v>
      </c>
      <c r="L4" s="392"/>
      <c r="M4" s="392"/>
      <c r="N4" s="393"/>
      <c r="O4" s="393"/>
      <c r="P4" s="393"/>
      <c r="Q4" s="10" t="s">
        <v>2</v>
      </c>
      <c r="R4" s="11" t="s">
        <v>30</v>
      </c>
      <c r="S4" s="10" t="s">
        <v>2</v>
      </c>
      <c r="T4" s="11" t="s">
        <v>30</v>
      </c>
      <c r="U4" s="392"/>
      <c r="V4" s="393"/>
      <c r="W4" s="394"/>
      <c r="X4" s="391"/>
    </row>
    <row r="5" spans="1:24" s="119" customFormat="1" ht="14.5" x14ac:dyDescent="0.3">
      <c r="A5" s="126" t="s">
        <v>372</v>
      </c>
      <c r="B5" s="126" t="s">
        <v>238</v>
      </c>
      <c r="C5" s="151" t="s">
        <v>135</v>
      </c>
      <c r="D5" s="47">
        <v>230</v>
      </c>
      <c r="E5" s="151" t="s">
        <v>152</v>
      </c>
      <c r="F5" s="150" t="s">
        <v>822</v>
      </c>
      <c r="G5" s="76" t="s">
        <v>31</v>
      </c>
      <c r="H5" s="76" t="s">
        <v>32</v>
      </c>
      <c r="I5" s="76" t="s">
        <v>33</v>
      </c>
      <c r="J5" s="151" t="s">
        <v>462</v>
      </c>
      <c r="K5" s="151" t="s">
        <v>424</v>
      </c>
      <c r="L5" s="117">
        <v>45406</v>
      </c>
      <c r="M5" s="117">
        <v>45437</v>
      </c>
      <c r="N5" s="130">
        <f>1406.27/2</f>
        <v>703.13499999999999</v>
      </c>
      <c r="O5" s="130">
        <f>1406.27/2</f>
        <v>703.13499999999999</v>
      </c>
      <c r="P5" s="130">
        <f t="shared" ref="P5:P15" si="0">SUM(N5:O5)</f>
        <v>1406.27</v>
      </c>
      <c r="Q5" s="79">
        <v>2</v>
      </c>
      <c r="R5" s="118">
        <v>120</v>
      </c>
      <c r="S5" s="79">
        <v>0</v>
      </c>
      <c r="T5" s="118">
        <v>0</v>
      </c>
      <c r="U5" s="70">
        <f t="shared" ref="U5:U15" si="1">Q5*R5+S5*T5</f>
        <v>240</v>
      </c>
      <c r="V5" s="70">
        <f t="shared" ref="V5:V15" si="2">P5+U5</f>
        <v>1646.27</v>
      </c>
      <c r="W5" s="70">
        <f t="shared" ref="W5:W15" si="3">V5</f>
        <v>1646.27</v>
      </c>
      <c r="X5" s="79"/>
    </row>
    <row r="6" spans="1:24" s="119" customFormat="1" ht="14.5" x14ac:dyDescent="0.3">
      <c r="A6" s="126" t="s">
        <v>250</v>
      </c>
      <c r="B6" s="126" t="s">
        <v>322</v>
      </c>
      <c r="C6" s="151" t="s">
        <v>754</v>
      </c>
      <c r="D6" s="47">
        <v>397</v>
      </c>
      <c r="E6" s="151" t="s">
        <v>829</v>
      </c>
      <c r="F6" s="152" t="s">
        <v>823</v>
      </c>
      <c r="G6" s="76" t="s">
        <v>31</v>
      </c>
      <c r="H6" s="76" t="s">
        <v>32</v>
      </c>
      <c r="I6" s="76" t="s">
        <v>33</v>
      </c>
      <c r="J6" s="151" t="s">
        <v>106</v>
      </c>
      <c r="K6" s="151" t="s">
        <v>107</v>
      </c>
      <c r="L6" s="117">
        <v>45392</v>
      </c>
      <c r="M6" s="117">
        <v>45393</v>
      </c>
      <c r="N6" s="130">
        <f t="shared" ref="N6:O9" si="4">2399.95/2</f>
        <v>1199.9749999999999</v>
      </c>
      <c r="O6" s="130">
        <f t="shared" si="4"/>
        <v>1199.9749999999999</v>
      </c>
      <c r="P6" s="130">
        <f t="shared" si="0"/>
        <v>2399.9499999999998</v>
      </c>
      <c r="Q6" s="79">
        <v>2</v>
      </c>
      <c r="R6" s="118">
        <v>120</v>
      </c>
      <c r="S6" s="79">
        <v>0</v>
      </c>
      <c r="T6" s="118">
        <v>0</v>
      </c>
      <c r="U6" s="70">
        <f t="shared" si="1"/>
        <v>240</v>
      </c>
      <c r="V6" s="70">
        <f t="shared" si="2"/>
        <v>2639.95</v>
      </c>
      <c r="W6" s="70">
        <f t="shared" si="3"/>
        <v>2639.95</v>
      </c>
      <c r="X6" s="79"/>
    </row>
    <row r="7" spans="1:24" s="119" customFormat="1" ht="14.5" x14ac:dyDescent="0.3">
      <c r="A7" s="126" t="s">
        <v>250</v>
      </c>
      <c r="B7" s="126" t="s">
        <v>322</v>
      </c>
      <c r="C7" s="149" t="s">
        <v>755</v>
      </c>
      <c r="D7" s="47">
        <v>324</v>
      </c>
      <c r="E7" s="151" t="s">
        <v>498</v>
      </c>
      <c r="F7" s="152" t="s">
        <v>823</v>
      </c>
      <c r="G7" s="76" t="s">
        <v>31</v>
      </c>
      <c r="H7" s="76" t="s">
        <v>32</v>
      </c>
      <c r="I7" s="76" t="s">
        <v>33</v>
      </c>
      <c r="J7" s="151" t="s">
        <v>106</v>
      </c>
      <c r="K7" s="151" t="s">
        <v>107</v>
      </c>
      <c r="L7" s="117">
        <v>45392</v>
      </c>
      <c r="M7" s="117">
        <v>45393</v>
      </c>
      <c r="N7" s="130">
        <f t="shared" si="4"/>
        <v>1199.9749999999999</v>
      </c>
      <c r="O7" s="130">
        <f t="shared" si="4"/>
        <v>1199.9749999999999</v>
      </c>
      <c r="P7" s="130">
        <f t="shared" si="0"/>
        <v>2399.9499999999998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2639.95</v>
      </c>
      <c r="W7" s="70">
        <f t="shared" si="3"/>
        <v>2639.95</v>
      </c>
      <c r="X7" s="79"/>
    </row>
    <row r="8" spans="1:24" s="119" customFormat="1" ht="14.5" x14ac:dyDescent="0.3">
      <c r="A8" s="126" t="s">
        <v>250</v>
      </c>
      <c r="B8" s="126" t="s">
        <v>322</v>
      </c>
      <c r="C8" s="146" t="s">
        <v>323</v>
      </c>
      <c r="D8" s="47">
        <v>87</v>
      </c>
      <c r="E8" s="110" t="s">
        <v>329</v>
      </c>
      <c r="F8" s="152" t="s">
        <v>823</v>
      </c>
      <c r="G8" s="76" t="s">
        <v>31</v>
      </c>
      <c r="H8" s="76" t="s">
        <v>32</v>
      </c>
      <c r="I8" s="76" t="s">
        <v>33</v>
      </c>
      <c r="J8" s="151" t="s">
        <v>106</v>
      </c>
      <c r="K8" s="151" t="s">
        <v>107</v>
      </c>
      <c r="L8" s="117">
        <v>45392</v>
      </c>
      <c r="M8" s="117">
        <v>45393</v>
      </c>
      <c r="N8" s="130">
        <f t="shared" si="4"/>
        <v>1199.9749999999999</v>
      </c>
      <c r="O8" s="130">
        <f t="shared" si="4"/>
        <v>1199.9749999999999</v>
      </c>
      <c r="P8" s="130">
        <f t="shared" si="0"/>
        <v>2399.9499999999998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2639.95</v>
      </c>
      <c r="W8" s="70">
        <f t="shared" si="3"/>
        <v>2639.95</v>
      </c>
      <c r="X8" s="79"/>
    </row>
    <row r="9" spans="1:24" s="119" customFormat="1" ht="14.5" x14ac:dyDescent="0.3">
      <c r="A9" s="126" t="s">
        <v>372</v>
      </c>
      <c r="B9" s="126" t="s">
        <v>238</v>
      </c>
      <c r="C9" s="146" t="s">
        <v>447</v>
      </c>
      <c r="D9" s="47">
        <v>336</v>
      </c>
      <c r="E9" s="138" t="s">
        <v>309</v>
      </c>
      <c r="F9" s="152" t="s">
        <v>823</v>
      </c>
      <c r="G9" s="76" t="s">
        <v>31</v>
      </c>
      <c r="H9" s="76" t="s">
        <v>32</v>
      </c>
      <c r="I9" s="76" t="s">
        <v>33</v>
      </c>
      <c r="J9" s="151" t="s">
        <v>106</v>
      </c>
      <c r="K9" s="151" t="s">
        <v>107</v>
      </c>
      <c r="L9" s="117">
        <v>45392</v>
      </c>
      <c r="M9" s="117">
        <v>45393</v>
      </c>
      <c r="N9" s="130">
        <f t="shared" si="4"/>
        <v>1199.9749999999999</v>
      </c>
      <c r="O9" s="130">
        <f t="shared" si="4"/>
        <v>1199.9749999999999</v>
      </c>
      <c r="P9" s="130">
        <f t="shared" si="0"/>
        <v>2399.9499999999998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2639.95</v>
      </c>
      <c r="W9" s="70">
        <f t="shared" si="3"/>
        <v>2639.95</v>
      </c>
      <c r="X9" s="79"/>
    </row>
    <row r="10" spans="1:24" s="119" customFormat="1" ht="29" x14ac:dyDescent="0.3">
      <c r="A10" s="126" t="s">
        <v>229</v>
      </c>
      <c r="B10" s="126" t="s">
        <v>759</v>
      </c>
      <c r="C10" s="146" t="s">
        <v>729</v>
      </c>
      <c r="D10" s="47">
        <v>390</v>
      </c>
      <c r="E10" s="110" t="s">
        <v>783</v>
      </c>
      <c r="F10" s="148" t="s">
        <v>824</v>
      </c>
      <c r="G10" s="76" t="s">
        <v>31</v>
      </c>
      <c r="H10" s="76" t="s">
        <v>32</v>
      </c>
      <c r="I10" s="76" t="s">
        <v>33</v>
      </c>
      <c r="J10" s="151" t="s">
        <v>61</v>
      </c>
      <c r="K10" s="151" t="s">
        <v>62</v>
      </c>
      <c r="L10" s="117">
        <v>45385</v>
      </c>
      <c r="M10" s="117">
        <v>45386</v>
      </c>
      <c r="N10" s="130">
        <f>2482.92/2</f>
        <v>1241.46</v>
      </c>
      <c r="O10" s="130">
        <f>2482.92/2</f>
        <v>1241.46</v>
      </c>
      <c r="P10" s="130">
        <f t="shared" si="0"/>
        <v>2482.92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2722.92</v>
      </c>
      <c r="W10" s="70">
        <f t="shared" si="3"/>
        <v>2722.92</v>
      </c>
      <c r="X10" s="79"/>
    </row>
    <row r="11" spans="1:24" s="119" customFormat="1" ht="14.5" x14ac:dyDescent="0.3">
      <c r="A11" s="126" t="s">
        <v>229</v>
      </c>
      <c r="B11" s="126" t="s">
        <v>227</v>
      </c>
      <c r="C11" s="146" t="s">
        <v>728</v>
      </c>
      <c r="D11" s="47">
        <v>387</v>
      </c>
      <c r="E11" s="138" t="s">
        <v>262</v>
      </c>
      <c r="F11" s="148" t="s">
        <v>825</v>
      </c>
      <c r="G11" s="76" t="s">
        <v>31</v>
      </c>
      <c r="H11" s="76" t="s">
        <v>32</v>
      </c>
      <c r="I11" s="76" t="s">
        <v>33</v>
      </c>
      <c r="J11" s="151" t="s">
        <v>106</v>
      </c>
      <c r="K11" s="151" t="s">
        <v>107</v>
      </c>
      <c r="L11" s="117">
        <v>45404</v>
      </c>
      <c r="M11" s="117">
        <v>45406</v>
      </c>
      <c r="N11" s="130">
        <f>2248.02/2</f>
        <v>1124.01</v>
      </c>
      <c r="O11" s="130">
        <f>2248.02/2</f>
        <v>1124.01</v>
      </c>
      <c r="P11" s="130">
        <f t="shared" si="0"/>
        <v>2248.02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1"/>
        <v>360</v>
      </c>
      <c r="V11" s="70">
        <f t="shared" si="2"/>
        <v>2608.02</v>
      </c>
      <c r="W11" s="70">
        <f t="shared" si="3"/>
        <v>2608.02</v>
      </c>
      <c r="X11" s="79"/>
    </row>
    <row r="12" spans="1:24" s="119" customFormat="1" ht="43.5" x14ac:dyDescent="0.3">
      <c r="A12" s="126" t="s">
        <v>229</v>
      </c>
      <c r="B12" s="126" t="s">
        <v>229</v>
      </c>
      <c r="C12" s="146" t="s">
        <v>698</v>
      </c>
      <c r="D12" s="47">
        <v>0</v>
      </c>
      <c r="E12" s="110" t="s">
        <v>561</v>
      </c>
      <c r="F12" s="152" t="s">
        <v>826</v>
      </c>
      <c r="G12" s="76" t="s">
        <v>31</v>
      </c>
      <c r="H12" s="76" t="s">
        <v>32</v>
      </c>
      <c r="I12" s="76" t="s">
        <v>33</v>
      </c>
      <c r="J12" s="149" t="s">
        <v>61</v>
      </c>
      <c r="K12" s="149" t="s">
        <v>62</v>
      </c>
      <c r="L12" s="117">
        <v>45404</v>
      </c>
      <c r="M12" s="117">
        <v>45406</v>
      </c>
      <c r="N12" s="130">
        <f>2755.24/2</f>
        <v>1377.62</v>
      </c>
      <c r="O12" s="130">
        <f>2755.24/2</f>
        <v>1377.62</v>
      </c>
      <c r="P12" s="130">
        <f t="shared" si="0"/>
        <v>2755.24</v>
      </c>
      <c r="Q12" s="79">
        <v>0</v>
      </c>
      <c r="R12" s="118">
        <v>120</v>
      </c>
      <c r="S12" s="79">
        <v>0</v>
      </c>
      <c r="T12" s="118">
        <v>0</v>
      </c>
      <c r="U12" s="70">
        <f t="shared" si="1"/>
        <v>0</v>
      </c>
      <c r="V12" s="70">
        <f t="shared" si="2"/>
        <v>2755.24</v>
      </c>
      <c r="W12" s="70">
        <f t="shared" si="3"/>
        <v>2755.24</v>
      </c>
      <c r="X12" s="79"/>
    </row>
    <row r="13" spans="1:24" s="119" customFormat="1" ht="43.5" x14ac:dyDescent="0.3">
      <c r="A13" s="126" t="s">
        <v>229</v>
      </c>
      <c r="B13" s="126" t="s">
        <v>229</v>
      </c>
      <c r="C13" s="146" t="s">
        <v>698</v>
      </c>
      <c r="D13" s="47">
        <v>0</v>
      </c>
      <c r="E13" s="110" t="s">
        <v>561</v>
      </c>
      <c r="F13" s="152" t="s">
        <v>826</v>
      </c>
      <c r="G13" s="76" t="s">
        <v>31</v>
      </c>
      <c r="H13" s="151" t="s">
        <v>61</v>
      </c>
      <c r="I13" s="151" t="s">
        <v>62</v>
      </c>
      <c r="J13" s="151" t="s">
        <v>38</v>
      </c>
      <c r="K13" s="151" t="s">
        <v>39</v>
      </c>
      <c r="L13" s="117">
        <v>45407</v>
      </c>
      <c r="M13" s="117">
        <v>45408</v>
      </c>
      <c r="N13" s="130">
        <f>2769.02/2</f>
        <v>1384.51</v>
      </c>
      <c r="O13" s="130">
        <f>2769.02/2</f>
        <v>1384.51</v>
      </c>
      <c r="P13" s="130">
        <f t="shared" si="0"/>
        <v>2769.02</v>
      </c>
      <c r="Q13" s="79">
        <v>0</v>
      </c>
      <c r="R13" s="118">
        <v>120</v>
      </c>
      <c r="S13" s="79">
        <v>0</v>
      </c>
      <c r="T13" s="118">
        <v>0</v>
      </c>
      <c r="U13" s="70">
        <f t="shared" si="1"/>
        <v>0</v>
      </c>
      <c r="V13" s="70">
        <f t="shared" si="2"/>
        <v>2769.02</v>
      </c>
      <c r="W13" s="70">
        <f t="shared" si="3"/>
        <v>2769.02</v>
      </c>
      <c r="X13" s="79"/>
    </row>
    <row r="14" spans="1:24" s="119" customFormat="1" ht="14.5" x14ac:dyDescent="0.3">
      <c r="A14" s="126" t="s">
        <v>229</v>
      </c>
      <c r="B14" s="126" t="s">
        <v>214</v>
      </c>
      <c r="C14" s="146" t="s">
        <v>745</v>
      </c>
      <c r="D14" s="47">
        <v>386</v>
      </c>
      <c r="E14" s="110" t="s">
        <v>221</v>
      </c>
      <c r="F14" s="148" t="s">
        <v>827</v>
      </c>
      <c r="G14" s="76" t="s">
        <v>31</v>
      </c>
      <c r="H14" s="76" t="s">
        <v>32</v>
      </c>
      <c r="I14" s="76" t="s">
        <v>33</v>
      </c>
      <c r="J14" s="151" t="s">
        <v>38</v>
      </c>
      <c r="K14" s="151" t="s">
        <v>39</v>
      </c>
      <c r="L14" s="117">
        <v>45405</v>
      </c>
      <c r="M14" s="117">
        <v>45406</v>
      </c>
      <c r="N14" s="130">
        <f>2562.28/2</f>
        <v>1281.1400000000001</v>
      </c>
      <c r="O14" s="130">
        <f>2562.28/2</f>
        <v>1281.1400000000001</v>
      </c>
      <c r="P14" s="130">
        <f t="shared" si="0"/>
        <v>2562.2800000000002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 t="shared" si="2"/>
        <v>2802.28</v>
      </c>
      <c r="W14" s="70">
        <f t="shared" si="3"/>
        <v>2802.28</v>
      </c>
      <c r="X14" s="79"/>
    </row>
    <row r="15" spans="1:24" s="119" customFormat="1" ht="14.5" x14ac:dyDescent="0.3">
      <c r="A15" s="126" t="s">
        <v>229</v>
      </c>
      <c r="B15" s="126" t="s">
        <v>227</v>
      </c>
      <c r="C15" s="146" t="s">
        <v>728</v>
      </c>
      <c r="D15" s="47">
        <v>387</v>
      </c>
      <c r="E15" s="138" t="s">
        <v>262</v>
      </c>
      <c r="F15" s="148" t="s">
        <v>828</v>
      </c>
      <c r="G15" s="76" t="s">
        <v>31</v>
      </c>
      <c r="H15" s="76" t="s">
        <v>32</v>
      </c>
      <c r="I15" s="76" t="s">
        <v>33</v>
      </c>
      <c r="J15" s="151" t="s">
        <v>61</v>
      </c>
      <c r="K15" s="151" t="s">
        <v>62</v>
      </c>
      <c r="L15" s="117">
        <v>45404</v>
      </c>
      <c r="M15" s="117">
        <v>45406</v>
      </c>
      <c r="N15" s="130">
        <f>2825.39/2</f>
        <v>1412.6949999999999</v>
      </c>
      <c r="O15" s="130">
        <f>2825.39/2</f>
        <v>1412.6949999999999</v>
      </c>
      <c r="P15" s="130">
        <f t="shared" si="0"/>
        <v>2825.39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"/>
        <v>360</v>
      </c>
      <c r="V15" s="70">
        <f t="shared" si="2"/>
        <v>3185.39</v>
      </c>
      <c r="W15" s="70">
        <f t="shared" si="3"/>
        <v>3185.39</v>
      </c>
      <c r="X15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AD0C1-0D83-426D-9B86-9C5E2D0E973E}">
  <dimension ref="A1:X26"/>
  <sheetViews>
    <sheetView workbookViewId="0">
      <selection activeCell="A22" sqref="A22:E25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92"/>
      <c r="B4" s="392"/>
      <c r="C4" s="392"/>
      <c r="D4" s="392"/>
      <c r="E4" s="392"/>
      <c r="F4" s="392"/>
      <c r="G4" s="392"/>
      <c r="H4" s="10" t="s">
        <v>27</v>
      </c>
      <c r="I4" s="10" t="s">
        <v>28</v>
      </c>
      <c r="J4" s="10" t="s">
        <v>27</v>
      </c>
      <c r="K4" s="11" t="s">
        <v>29</v>
      </c>
      <c r="L4" s="392"/>
      <c r="M4" s="392"/>
      <c r="N4" s="393"/>
      <c r="O4" s="393"/>
      <c r="P4" s="393"/>
      <c r="Q4" s="10" t="s">
        <v>2</v>
      </c>
      <c r="R4" s="11" t="s">
        <v>30</v>
      </c>
      <c r="S4" s="10" t="s">
        <v>2</v>
      </c>
      <c r="T4" s="11" t="s">
        <v>30</v>
      </c>
      <c r="U4" s="392"/>
      <c r="V4" s="393"/>
      <c r="W4" s="394"/>
      <c r="X4" s="391"/>
    </row>
    <row r="5" spans="1:24" s="119" customFormat="1" ht="14.5" x14ac:dyDescent="0.3">
      <c r="A5" s="154" t="s">
        <v>250</v>
      </c>
      <c r="B5" s="126" t="s">
        <v>258</v>
      </c>
      <c r="C5" s="153" t="s">
        <v>185</v>
      </c>
      <c r="D5" s="47">
        <v>71</v>
      </c>
      <c r="E5" s="153" t="s">
        <v>842</v>
      </c>
      <c r="F5" s="150" t="s">
        <v>624</v>
      </c>
      <c r="G5" s="76" t="s">
        <v>31</v>
      </c>
      <c r="H5" s="76" t="s">
        <v>32</v>
      </c>
      <c r="I5" s="76" t="s">
        <v>33</v>
      </c>
      <c r="J5" s="153" t="s">
        <v>32</v>
      </c>
      <c r="K5" s="153" t="s">
        <v>390</v>
      </c>
      <c r="L5" s="117">
        <v>45418</v>
      </c>
      <c r="M5" s="117">
        <v>45420</v>
      </c>
      <c r="N5" s="130">
        <f t="shared" ref="N5:O7" si="0">1715.09/2</f>
        <v>857.54499999999996</v>
      </c>
      <c r="O5" s="130">
        <f t="shared" si="0"/>
        <v>857.54499999999996</v>
      </c>
      <c r="P5" s="130">
        <f t="shared" ref="P5:P22" si="1">SUM(N5:O5)</f>
        <v>1715.09</v>
      </c>
      <c r="Q5" s="79">
        <v>3</v>
      </c>
      <c r="R5" s="118">
        <v>120</v>
      </c>
      <c r="S5" s="79">
        <v>0</v>
      </c>
      <c r="T5" s="118">
        <v>0</v>
      </c>
      <c r="U5" s="70">
        <f t="shared" ref="U5:U14" si="2">Q5*R5+S5*T5</f>
        <v>360</v>
      </c>
      <c r="V5" s="70">
        <f t="shared" ref="V5:V14" si="3">P5+U5</f>
        <v>2075.09</v>
      </c>
      <c r="W5" s="70">
        <f t="shared" ref="W5:W14" si="4">V5</f>
        <v>2075.09</v>
      </c>
      <c r="X5" s="79"/>
    </row>
    <row r="6" spans="1:24" s="119" customFormat="1" ht="14.5" x14ac:dyDescent="0.3">
      <c r="A6" s="126" t="s">
        <v>250</v>
      </c>
      <c r="B6" s="126" t="s">
        <v>258</v>
      </c>
      <c r="C6" s="153" t="s">
        <v>830</v>
      </c>
      <c r="D6" s="47">
        <v>410</v>
      </c>
      <c r="E6" s="153" t="s">
        <v>797</v>
      </c>
      <c r="F6" s="152" t="s">
        <v>624</v>
      </c>
      <c r="G6" s="76" t="s">
        <v>31</v>
      </c>
      <c r="H6" s="76" t="s">
        <v>32</v>
      </c>
      <c r="I6" s="76" t="s">
        <v>33</v>
      </c>
      <c r="J6" s="153" t="s">
        <v>32</v>
      </c>
      <c r="K6" s="153" t="s">
        <v>390</v>
      </c>
      <c r="L6" s="117">
        <v>45418</v>
      </c>
      <c r="M6" s="117">
        <v>45420</v>
      </c>
      <c r="N6" s="130">
        <f t="shared" si="0"/>
        <v>857.54499999999996</v>
      </c>
      <c r="O6" s="130">
        <f t="shared" si="0"/>
        <v>857.54499999999996</v>
      </c>
      <c r="P6" s="130">
        <f t="shared" si="1"/>
        <v>1715.09</v>
      </c>
      <c r="Q6" s="79">
        <v>3</v>
      </c>
      <c r="R6" s="118">
        <v>120</v>
      </c>
      <c r="S6" s="79">
        <v>0</v>
      </c>
      <c r="T6" s="118">
        <v>0</v>
      </c>
      <c r="U6" s="70">
        <f t="shared" si="2"/>
        <v>360</v>
      </c>
      <c r="V6" s="70">
        <f t="shared" si="3"/>
        <v>2075.09</v>
      </c>
      <c r="W6" s="70">
        <f t="shared" si="4"/>
        <v>2075.09</v>
      </c>
      <c r="X6" s="79"/>
    </row>
    <row r="7" spans="1:24" s="119" customFormat="1" ht="14.5" x14ac:dyDescent="0.3">
      <c r="A7" s="126" t="s">
        <v>250</v>
      </c>
      <c r="B7" s="126" t="s">
        <v>258</v>
      </c>
      <c r="C7" s="149" t="s">
        <v>802</v>
      </c>
      <c r="D7" s="47">
        <v>404</v>
      </c>
      <c r="E7" s="110" t="s">
        <v>804</v>
      </c>
      <c r="F7" s="152" t="s">
        <v>624</v>
      </c>
      <c r="G7" s="76" t="s">
        <v>31</v>
      </c>
      <c r="H7" s="76" t="s">
        <v>32</v>
      </c>
      <c r="I7" s="76" t="s">
        <v>33</v>
      </c>
      <c r="J7" s="153" t="s">
        <v>32</v>
      </c>
      <c r="K7" s="153" t="s">
        <v>390</v>
      </c>
      <c r="L7" s="117">
        <v>45418</v>
      </c>
      <c r="M7" s="117">
        <v>45420</v>
      </c>
      <c r="N7" s="130">
        <f t="shared" si="0"/>
        <v>857.54499999999996</v>
      </c>
      <c r="O7" s="130">
        <f t="shared" si="0"/>
        <v>857.54499999999996</v>
      </c>
      <c r="P7" s="130">
        <f t="shared" si="1"/>
        <v>1715.09</v>
      </c>
      <c r="Q7" s="79">
        <v>3</v>
      </c>
      <c r="R7" s="118">
        <v>120</v>
      </c>
      <c r="S7" s="79">
        <v>0</v>
      </c>
      <c r="T7" s="118">
        <v>0</v>
      </c>
      <c r="U7" s="70">
        <f t="shared" si="2"/>
        <v>360</v>
      </c>
      <c r="V7" s="70">
        <f t="shared" si="3"/>
        <v>2075.09</v>
      </c>
      <c r="W7" s="70">
        <f t="shared" si="4"/>
        <v>2075.09</v>
      </c>
      <c r="X7" s="79"/>
    </row>
    <row r="8" spans="1:24" s="119" customFormat="1" ht="14.5" x14ac:dyDescent="0.3">
      <c r="A8" s="126" t="s">
        <v>372</v>
      </c>
      <c r="B8" s="126" t="s">
        <v>398</v>
      </c>
      <c r="C8" s="153" t="s">
        <v>266</v>
      </c>
      <c r="D8" s="47">
        <v>296</v>
      </c>
      <c r="E8" s="153" t="s">
        <v>158</v>
      </c>
      <c r="F8" s="152" t="s">
        <v>832</v>
      </c>
      <c r="G8" s="76" t="s">
        <v>31</v>
      </c>
      <c r="H8" s="76" t="s">
        <v>32</v>
      </c>
      <c r="I8" s="76" t="s">
        <v>33</v>
      </c>
      <c r="J8" s="153" t="s">
        <v>32</v>
      </c>
      <c r="K8" s="153" t="s">
        <v>390</v>
      </c>
      <c r="L8" s="117">
        <v>45425</v>
      </c>
      <c r="M8" s="117">
        <v>45427</v>
      </c>
      <c r="N8" s="130">
        <f>1566.08/2</f>
        <v>783.04</v>
      </c>
      <c r="O8" s="130">
        <f>1566.08/2</f>
        <v>783.04</v>
      </c>
      <c r="P8" s="130">
        <f t="shared" si="1"/>
        <v>1566.08</v>
      </c>
      <c r="Q8" s="79">
        <v>3</v>
      </c>
      <c r="R8" s="118">
        <v>120</v>
      </c>
      <c r="S8" s="79">
        <v>0</v>
      </c>
      <c r="T8" s="118">
        <v>0</v>
      </c>
      <c r="U8" s="70">
        <f t="shared" si="2"/>
        <v>360</v>
      </c>
      <c r="V8" s="70">
        <f t="shared" si="3"/>
        <v>1926.08</v>
      </c>
      <c r="W8" s="70">
        <f t="shared" si="4"/>
        <v>1926.08</v>
      </c>
      <c r="X8" s="79"/>
    </row>
    <row r="9" spans="1:24" s="119" customFormat="1" ht="14.5" x14ac:dyDescent="0.3">
      <c r="A9" s="126" t="s">
        <v>372</v>
      </c>
      <c r="B9" s="126" t="s">
        <v>372</v>
      </c>
      <c r="C9" s="146" t="s">
        <v>819</v>
      </c>
      <c r="D9" s="47">
        <v>0</v>
      </c>
      <c r="E9" s="149" t="s">
        <v>88</v>
      </c>
      <c r="F9" s="152" t="s">
        <v>832</v>
      </c>
      <c r="G9" s="76" t="s">
        <v>31</v>
      </c>
      <c r="H9" s="76" t="s">
        <v>32</v>
      </c>
      <c r="I9" s="76" t="s">
        <v>33</v>
      </c>
      <c r="J9" s="153" t="s">
        <v>32</v>
      </c>
      <c r="K9" s="153" t="s">
        <v>390</v>
      </c>
      <c r="L9" s="117">
        <v>45425</v>
      </c>
      <c r="M9" s="117">
        <v>45427</v>
      </c>
      <c r="N9" s="130">
        <f>1758.46/2</f>
        <v>879.23</v>
      </c>
      <c r="O9" s="130">
        <f>1758.46/2</f>
        <v>879.23</v>
      </c>
      <c r="P9" s="130">
        <f t="shared" si="1"/>
        <v>1758.46</v>
      </c>
      <c r="Q9" s="79">
        <v>0</v>
      </c>
      <c r="R9" s="118">
        <v>120</v>
      </c>
      <c r="S9" s="79">
        <v>0</v>
      </c>
      <c r="T9" s="118">
        <v>0</v>
      </c>
      <c r="U9" s="70">
        <f t="shared" si="2"/>
        <v>0</v>
      </c>
      <c r="V9" s="70">
        <f t="shared" si="3"/>
        <v>1758.46</v>
      </c>
      <c r="W9" s="70">
        <f t="shared" si="4"/>
        <v>1758.46</v>
      </c>
      <c r="X9" s="79"/>
    </row>
    <row r="10" spans="1:24" s="119" customFormat="1" ht="14.5" x14ac:dyDescent="0.3">
      <c r="A10" s="126" t="s">
        <v>229</v>
      </c>
      <c r="B10" s="126" t="s">
        <v>229</v>
      </c>
      <c r="C10" s="146" t="s">
        <v>698</v>
      </c>
      <c r="D10" s="47">
        <v>0</v>
      </c>
      <c r="E10" s="110" t="s">
        <v>561</v>
      </c>
      <c r="F10" s="148" t="s">
        <v>832</v>
      </c>
      <c r="G10" s="76" t="s">
        <v>31</v>
      </c>
      <c r="H10" s="76" t="s">
        <v>32</v>
      </c>
      <c r="I10" s="76" t="s">
        <v>33</v>
      </c>
      <c r="J10" s="153" t="s">
        <v>32</v>
      </c>
      <c r="K10" s="153" t="s">
        <v>390</v>
      </c>
      <c r="L10" s="117">
        <v>45425</v>
      </c>
      <c r="M10" s="117">
        <v>45427</v>
      </c>
      <c r="N10" s="130">
        <f>1617.04/2</f>
        <v>808.52</v>
      </c>
      <c r="O10" s="130">
        <f>1617.04/2</f>
        <v>808.52</v>
      </c>
      <c r="P10" s="130">
        <f t="shared" si="1"/>
        <v>1617.04</v>
      </c>
      <c r="Q10" s="79">
        <v>3</v>
      </c>
      <c r="R10" s="118">
        <v>120</v>
      </c>
      <c r="S10" s="79">
        <v>0</v>
      </c>
      <c r="T10" s="118">
        <v>0</v>
      </c>
      <c r="U10" s="70">
        <f t="shared" si="2"/>
        <v>360</v>
      </c>
      <c r="V10" s="70">
        <f t="shared" si="3"/>
        <v>1977.04</v>
      </c>
      <c r="W10" s="70">
        <f t="shared" si="4"/>
        <v>1977.04</v>
      </c>
      <c r="X10" s="79"/>
    </row>
    <row r="11" spans="1:24" s="119" customFormat="1" ht="14.5" x14ac:dyDescent="0.3">
      <c r="A11" s="126" t="s">
        <v>229</v>
      </c>
      <c r="B11" s="126" t="s">
        <v>227</v>
      </c>
      <c r="C11" s="153" t="s">
        <v>728</v>
      </c>
      <c r="D11" s="47">
        <v>387</v>
      </c>
      <c r="E11" s="153" t="s">
        <v>843</v>
      </c>
      <c r="F11" s="152" t="s">
        <v>832</v>
      </c>
      <c r="G11" s="76" t="s">
        <v>31</v>
      </c>
      <c r="H11" s="76" t="s">
        <v>32</v>
      </c>
      <c r="I11" s="76" t="s">
        <v>33</v>
      </c>
      <c r="J11" s="153" t="s">
        <v>32</v>
      </c>
      <c r="K11" s="153" t="s">
        <v>390</v>
      </c>
      <c r="L11" s="117">
        <v>45425</v>
      </c>
      <c r="M11" s="117">
        <v>45427</v>
      </c>
      <c r="N11" s="130">
        <f>2005.09/2</f>
        <v>1002.545</v>
      </c>
      <c r="O11" s="130">
        <f>2005.09/2</f>
        <v>1002.545</v>
      </c>
      <c r="P11" s="130">
        <f t="shared" si="1"/>
        <v>2005.09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2"/>
        <v>360</v>
      </c>
      <c r="V11" s="70">
        <f t="shared" si="3"/>
        <v>2365.09</v>
      </c>
      <c r="W11" s="70">
        <f t="shared" si="4"/>
        <v>2365.09</v>
      </c>
      <c r="X11" s="79"/>
    </row>
    <row r="12" spans="1:24" s="119" customFormat="1" ht="14.5" x14ac:dyDescent="0.3">
      <c r="A12" s="126" t="s">
        <v>229</v>
      </c>
      <c r="B12" s="126" t="s">
        <v>301</v>
      </c>
      <c r="C12" s="153" t="s">
        <v>831</v>
      </c>
      <c r="D12" s="47">
        <v>405</v>
      </c>
      <c r="E12" s="153" t="s">
        <v>313</v>
      </c>
      <c r="F12" s="152" t="s">
        <v>832</v>
      </c>
      <c r="G12" s="76" t="s">
        <v>31</v>
      </c>
      <c r="H12" s="151" t="s">
        <v>61</v>
      </c>
      <c r="I12" s="76" t="s">
        <v>33</v>
      </c>
      <c r="J12" s="153" t="s">
        <v>32</v>
      </c>
      <c r="K12" s="153" t="s">
        <v>390</v>
      </c>
      <c r="L12" s="117">
        <v>45425</v>
      </c>
      <c r="M12" s="117">
        <v>45427</v>
      </c>
      <c r="N12" s="130">
        <f>1617.03/2</f>
        <v>808.51499999999999</v>
      </c>
      <c r="O12" s="130">
        <f>1617.03/2</f>
        <v>808.51499999999999</v>
      </c>
      <c r="P12" s="130">
        <f t="shared" si="1"/>
        <v>1617.03</v>
      </c>
      <c r="Q12" s="79">
        <v>3</v>
      </c>
      <c r="R12" s="118">
        <v>120</v>
      </c>
      <c r="S12" s="79">
        <v>0</v>
      </c>
      <c r="T12" s="118">
        <v>0</v>
      </c>
      <c r="U12" s="70">
        <f t="shared" si="2"/>
        <v>360</v>
      </c>
      <c r="V12" s="70">
        <f t="shared" si="3"/>
        <v>1977.03</v>
      </c>
      <c r="W12" s="70">
        <f t="shared" si="4"/>
        <v>1977.03</v>
      </c>
      <c r="X12" s="79"/>
    </row>
    <row r="13" spans="1:24" s="119" customFormat="1" ht="14.5" x14ac:dyDescent="0.3">
      <c r="A13" s="154" t="s">
        <v>372</v>
      </c>
      <c r="B13" s="126" t="s">
        <v>238</v>
      </c>
      <c r="C13" s="146" t="s">
        <v>135</v>
      </c>
      <c r="D13" s="47">
        <v>230</v>
      </c>
      <c r="E13" s="151" t="s">
        <v>152</v>
      </c>
      <c r="F13" s="152" t="s">
        <v>832</v>
      </c>
      <c r="G13" s="76" t="s">
        <v>31</v>
      </c>
      <c r="H13" s="76" t="s">
        <v>32</v>
      </c>
      <c r="I13" s="76" t="s">
        <v>33</v>
      </c>
      <c r="J13" s="153" t="s">
        <v>32</v>
      </c>
      <c r="K13" s="153" t="s">
        <v>390</v>
      </c>
      <c r="L13" s="117">
        <v>45425</v>
      </c>
      <c r="M13" s="117">
        <v>45427</v>
      </c>
      <c r="N13" s="130">
        <f>1489.63/2</f>
        <v>744.81500000000005</v>
      </c>
      <c r="O13" s="130">
        <f>1489.63/2</f>
        <v>744.81500000000005</v>
      </c>
      <c r="P13" s="130">
        <f t="shared" si="1"/>
        <v>1489.63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2"/>
        <v>360</v>
      </c>
      <c r="V13" s="70">
        <f t="shared" si="3"/>
        <v>1849.63</v>
      </c>
      <c r="W13" s="70">
        <f t="shared" si="4"/>
        <v>1849.63</v>
      </c>
      <c r="X13" s="79"/>
    </row>
    <row r="14" spans="1:24" s="119" customFormat="1" ht="14.5" x14ac:dyDescent="0.3">
      <c r="A14" s="126" t="s">
        <v>229</v>
      </c>
      <c r="B14" s="126" t="s">
        <v>229</v>
      </c>
      <c r="C14" s="146" t="s">
        <v>698</v>
      </c>
      <c r="D14" s="47">
        <v>0</v>
      </c>
      <c r="E14" s="110" t="s">
        <v>561</v>
      </c>
      <c r="F14" s="152" t="s">
        <v>833</v>
      </c>
      <c r="G14" s="76" t="s">
        <v>31</v>
      </c>
      <c r="H14" s="76" t="s">
        <v>32</v>
      </c>
      <c r="I14" s="76" t="s">
        <v>33</v>
      </c>
      <c r="J14" s="153" t="s">
        <v>61</v>
      </c>
      <c r="K14" s="153" t="s">
        <v>62</v>
      </c>
      <c r="L14" s="117">
        <v>45414</v>
      </c>
      <c r="M14" s="117">
        <v>45415</v>
      </c>
      <c r="N14" s="130">
        <f>1702.23/2</f>
        <v>851.11500000000001</v>
      </c>
      <c r="O14" s="130">
        <f>1702.23/2</f>
        <v>851.11500000000001</v>
      </c>
      <c r="P14" s="130">
        <f t="shared" si="1"/>
        <v>1702.23</v>
      </c>
      <c r="Q14" s="79">
        <v>0</v>
      </c>
      <c r="R14" s="118">
        <v>120</v>
      </c>
      <c r="S14" s="79">
        <v>0</v>
      </c>
      <c r="T14" s="118">
        <v>0</v>
      </c>
      <c r="U14" s="70">
        <f t="shared" si="2"/>
        <v>0</v>
      </c>
      <c r="V14" s="70">
        <f t="shared" si="3"/>
        <v>1702.23</v>
      </c>
      <c r="W14" s="70">
        <f t="shared" si="4"/>
        <v>1702.23</v>
      </c>
      <c r="X14" s="79"/>
    </row>
    <row r="15" spans="1:24" s="119" customFormat="1" ht="14.5" x14ac:dyDescent="0.3">
      <c r="A15" s="126" t="s">
        <v>229</v>
      </c>
      <c r="B15" s="126" t="s">
        <v>362</v>
      </c>
      <c r="C15" s="146" t="s">
        <v>788</v>
      </c>
      <c r="D15" s="47">
        <v>393</v>
      </c>
      <c r="E15" s="144" t="s">
        <v>796</v>
      </c>
      <c r="F15" s="152" t="s">
        <v>833</v>
      </c>
      <c r="G15" s="76" t="s">
        <v>31</v>
      </c>
      <c r="H15" s="76" t="s">
        <v>32</v>
      </c>
      <c r="I15" s="76" t="s">
        <v>33</v>
      </c>
      <c r="J15" s="153" t="s">
        <v>61</v>
      </c>
      <c r="K15" s="153" t="s">
        <v>62</v>
      </c>
      <c r="L15" s="117">
        <v>45414</v>
      </c>
      <c r="M15" s="117">
        <v>45415</v>
      </c>
      <c r="N15" s="130">
        <f>1608.23/2</f>
        <v>804.11500000000001</v>
      </c>
      <c r="O15" s="130">
        <f>1608.23/2</f>
        <v>804.11500000000001</v>
      </c>
      <c r="P15" s="130">
        <f t="shared" si="1"/>
        <v>1608.23</v>
      </c>
      <c r="Q15" s="79">
        <v>2</v>
      </c>
      <c r="R15" s="118">
        <v>120</v>
      </c>
      <c r="S15" s="79">
        <v>0</v>
      </c>
      <c r="T15" s="118">
        <v>0</v>
      </c>
      <c r="U15" s="70">
        <f t="shared" ref="U15:U18" si="5">Q15*R15+S15*T15</f>
        <v>240</v>
      </c>
      <c r="V15" s="70">
        <f t="shared" ref="V15:V18" si="6">P15+U15</f>
        <v>1848.23</v>
      </c>
      <c r="W15" s="70">
        <f t="shared" ref="W15:W18" si="7">V15</f>
        <v>1848.23</v>
      </c>
      <c r="X15" s="79"/>
    </row>
    <row r="16" spans="1:24" s="119" customFormat="1" ht="14.5" x14ac:dyDescent="0.3">
      <c r="A16" s="126" t="s">
        <v>250</v>
      </c>
      <c r="B16" s="126" t="s">
        <v>250</v>
      </c>
      <c r="C16" s="146" t="s">
        <v>378</v>
      </c>
      <c r="D16" s="47">
        <v>0</v>
      </c>
      <c r="E16" s="110" t="s">
        <v>55</v>
      </c>
      <c r="F16" s="152" t="s">
        <v>834</v>
      </c>
      <c r="G16" s="76" t="s">
        <v>31</v>
      </c>
      <c r="H16" s="76" t="s">
        <v>32</v>
      </c>
      <c r="I16" s="76" t="s">
        <v>33</v>
      </c>
      <c r="J16" s="153" t="s">
        <v>203</v>
      </c>
      <c r="K16" s="153" t="s">
        <v>835</v>
      </c>
      <c r="L16" s="117">
        <v>45420</v>
      </c>
      <c r="M16" s="117">
        <v>45422</v>
      </c>
      <c r="N16" s="130">
        <f t="shared" ref="N16:O18" si="8">2639.57/2</f>
        <v>1319.7850000000001</v>
      </c>
      <c r="O16" s="130">
        <f t="shared" si="8"/>
        <v>1319.7850000000001</v>
      </c>
      <c r="P16" s="130">
        <f t="shared" si="1"/>
        <v>2639.57</v>
      </c>
      <c r="Q16" s="79">
        <v>0</v>
      </c>
      <c r="R16" s="118">
        <v>120</v>
      </c>
      <c r="S16" s="79">
        <v>0</v>
      </c>
      <c r="T16" s="118">
        <v>0</v>
      </c>
      <c r="U16" s="70">
        <f t="shared" si="5"/>
        <v>0</v>
      </c>
      <c r="V16" s="70">
        <f t="shared" si="6"/>
        <v>2639.57</v>
      </c>
      <c r="W16" s="70">
        <f t="shared" si="7"/>
        <v>2639.57</v>
      </c>
      <c r="X16" s="79"/>
    </row>
    <row r="17" spans="1:24" s="119" customFormat="1" ht="14.5" x14ac:dyDescent="0.3">
      <c r="A17" s="126" t="s">
        <v>250</v>
      </c>
      <c r="B17" s="126" t="s">
        <v>250</v>
      </c>
      <c r="C17" s="146" t="s">
        <v>670</v>
      </c>
      <c r="D17" s="47">
        <v>383</v>
      </c>
      <c r="E17" s="110" t="s">
        <v>703</v>
      </c>
      <c r="F17" s="152" t="s">
        <v>834</v>
      </c>
      <c r="G17" s="76" t="s">
        <v>31</v>
      </c>
      <c r="H17" s="76" t="s">
        <v>32</v>
      </c>
      <c r="I17" s="76" t="s">
        <v>33</v>
      </c>
      <c r="J17" s="153" t="s">
        <v>203</v>
      </c>
      <c r="K17" s="153" t="s">
        <v>835</v>
      </c>
      <c r="L17" s="117">
        <v>45420</v>
      </c>
      <c r="M17" s="117">
        <v>45422</v>
      </c>
      <c r="N17" s="130">
        <f t="shared" si="8"/>
        <v>1319.7850000000001</v>
      </c>
      <c r="O17" s="130">
        <f t="shared" si="8"/>
        <v>1319.7850000000001</v>
      </c>
      <c r="P17" s="130">
        <f t="shared" si="1"/>
        <v>2639.57</v>
      </c>
      <c r="Q17" s="79">
        <v>3</v>
      </c>
      <c r="R17" s="118">
        <v>120</v>
      </c>
      <c r="S17" s="79">
        <v>0</v>
      </c>
      <c r="T17" s="118">
        <v>0</v>
      </c>
      <c r="U17" s="70">
        <f t="shared" si="5"/>
        <v>360</v>
      </c>
      <c r="V17" s="70">
        <f t="shared" si="6"/>
        <v>2999.57</v>
      </c>
      <c r="W17" s="70">
        <f t="shared" si="7"/>
        <v>2999.57</v>
      </c>
      <c r="X17" s="79"/>
    </row>
    <row r="18" spans="1:24" s="119" customFormat="1" ht="14.5" x14ac:dyDescent="0.3">
      <c r="A18" s="126" t="s">
        <v>250</v>
      </c>
      <c r="B18" s="126" t="s">
        <v>289</v>
      </c>
      <c r="C18" s="146" t="s">
        <v>236</v>
      </c>
      <c r="D18" s="47">
        <v>82</v>
      </c>
      <c r="E18" s="110" t="s">
        <v>89</v>
      </c>
      <c r="F18" s="152" t="s">
        <v>834</v>
      </c>
      <c r="G18" s="76" t="s">
        <v>31</v>
      </c>
      <c r="H18" s="76" t="s">
        <v>32</v>
      </c>
      <c r="I18" s="76" t="s">
        <v>33</v>
      </c>
      <c r="J18" s="153" t="s">
        <v>203</v>
      </c>
      <c r="K18" s="153" t="s">
        <v>835</v>
      </c>
      <c r="L18" s="117">
        <v>45420</v>
      </c>
      <c r="M18" s="117">
        <v>45422</v>
      </c>
      <c r="N18" s="130">
        <f t="shared" si="8"/>
        <v>1319.7850000000001</v>
      </c>
      <c r="O18" s="130">
        <f t="shared" si="8"/>
        <v>1319.7850000000001</v>
      </c>
      <c r="P18" s="130">
        <f t="shared" si="1"/>
        <v>2639.57</v>
      </c>
      <c r="Q18" s="79">
        <v>3</v>
      </c>
      <c r="R18" s="118">
        <v>120</v>
      </c>
      <c r="S18" s="79">
        <v>0</v>
      </c>
      <c r="T18" s="118">
        <v>0</v>
      </c>
      <c r="U18" s="70">
        <f t="shared" si="5"/>
        <v>360</v>
      </c>
      <c r="V18" s="70">
        <f t="shared" si="6"/>
        <v>2999.57</v>
      </c>
      <c r="W18" s="70">
        <f t="shared" si="7"/>
        <v>2999.57</v>
      </c>
      <c r="X18" s="79"/>
    </row>
    <row r="19" spans="1:24" s="119" customFormat="1" ht="14.5" x14ac:dyDescent="0.3">
      <c r="A19" s="126" t="s">
        <v>250</v>
      </c>
      <c r="B19" s="126" t="s">
        <v>250</v>
      </c>
      <c r="C19" s="146" t="s">
        <v>670</v>
      </c>
      <c r="D19" s="47">
        <v>383</v>
      </c>
      <c r="E19" s="110" t="s">
        <v>703</v>
      </c>
      <c r="F19" s="152" t="s">
        <v>836</v>
      </c>
      <c r="G19" s="76" t="s">
        <v>31</v>
      </c>
      <c r="H19" s="76" t="s">
        <v>32</v>
      </c>
      <c r="I19" s="76" t="s">
        <v>33</v>
      </c>
      <c r="J19" s="153" t="s">
        <v>111</v>
      </c>
      <c r="K19" s="153" t="s">
        <v>112</v>
      </c>
      <c r="L19" s="117">
        <v>45434</v>
      </c>
      <c r="M19" s="117">
        <v>45435</v>
      </c>
      <c r="N19" s="130">
        <f>1844.11/2</f>
        <v>922.05499999999995</v>
      </c>
      <c r="O19" s="130">
        <f>1844.11/2</f>
        <v>922.05499999999995</v>
      </c>
      <c r="P19" s="130">
        <f t="shared" si="1"/>
        <v>1844.11</v>
      </c>
      <c r="Q19" s="79">
        <v>2</v>
      </c>
      <c r="R19" s="118">
        <v>120</v>
      </c>
      <c r="S19" s="79">
        <v>0</v>
      </c>
      <c r="T19" s="118">
        <v>0</v>
      </c>
      <c r="U19" s="70">
        <f t="shared" ref="U19:U22" si="9">Q19*R19+S19*T19</f>
        <v>240</v>
      </c>
      <c r="V19" s="70">
        <f t="shared" ref="V19:V22" si="10">P19+U19</f>
        <v>2084.1099999999997</v>
      </c>
      <c r="W19" s="70">
        <f t="shared" ref="W19:W22" si="11">V19</f>
        <v>2084.1099999999997</v>
      </c>
      <c r="X19" s="79"/>
    </row>
    <row r="20" spans="1:24" s="119" customFormat="1" ht="14.5" x14ac:dyDescent="0.3">
      <c r="A20" s="126" t="s">
        <v>250</v>
      </c>
      <c r="B20" s="126" t="s">
        <v>250</v>
      </c>
      <c r="C20" s="146" t="s">
        <v>378</v>
      </c>
      <c r="D20" s="47">
        <v>0</v>
      </c>
      <c r="E20" s="110" t="s">
        <v>55</v>
      </c>
      <c r="F20" s="152" t="s">
        <v>836</v>
      </c>
      <c r="G20" s="76" t="s">
        <v>31</v>
      </c>
      <c r="H20" s="76" t="s">
        <v>32</v>
      </c>
      <c r="I20" s="76" t="s">
        <v>33</v>
      </c>
      <c r="J20" s="153" t="s">
        <v>111</v>
      </c>
      <c r="K20" s="153" t="s">
        <v>112</v>
      </c>
      <c r="L20" s="117">
        <v>45434</v>
      </c>
      <c r="M20" s="117">
        <v>45435</v>
      </c>
      <c r="N20" s="130">
        <f>1844.11/2</f>
        <v>922.05499999999995</v>
      </c>
      <c r="O20" s="130">
        <f>1844.11/2</f>
        <v>922.05499999999995</v>
      </c>
      <c r="P20" s="130">
        <f t="shared" si="1"/>
        <v>1844.11</v>
      </c>
      <c r="Q20" s="79">
        <v>0</v>
      </c>
      <c r="R20" s="118">
        <v>120</v>
      </c>
      <c r="S20" s="79">
        <v>0</v>
      </c>
      <c r="T20" s="118">
        <v>0</v>
      </c>
      <c r="U20" s="70">
        <f t="shared" si="9"/>
        <v>0</v>
      </c>
      <c r="V20" s="70">
        <f t="shared" si="10"/>
        <v>1844.11</v>
      </c>
      <c r="W20" s="70">
        <f t="shared" si="11"/>
        <v>1844.11</v>
      </c>
      <c r="X20" s="79"/>
    </row>
    <row r="21" spans="1:24" s="119" customFormat="1" ht="14.5" x14ac:dyDescent="0.3">
      <c r="A21" s="126" t="s">
        <v>250</v>
      </c>
      <c r="B21" s="126" t="s">
        <v>258</v>
      </c>
      <c r="C21" s="153" t="s">
        <v>576</v>
      </c>
      <c r="D21" s="47">
        <v>285</v>
      </c>
      <c r="E21" s="153" t="s">
        <v>844</v>
      </c>
      <c r="F21" s="152" t="s">
        <v>837</v>
      </c>
      <c r="G21" s="76" t="s">
        <v>31</v>
      </c>
      <c r="H21" s="76" t="s">
        <v>32</v>
      </c>
      <c r="I21" s="76" t="s">
        <v>33</v>
      </c>
      <c r="J21" s="153" t="s">
        <v>32</v>
      </c>
      <c r="K21" s="153" t="s">
        <v>390</v>
      </c>
      <c r="L21" s="117">
        <v>45434</v>
      </c>
      <c r="M21" s="117">
        <v>45435</v>
      </c>
      <c r="N21" s="130">
        <f>1690.67/2</f>
        <v>845.33500000000004</v>
      </c>
      <c r="O21" s="130">
        <f>1690.67/2</f>
        <v>845.33500000000004</v>
      </c>
      <c r="P21" s="130">
        <f t="shared" si="1"/>
        <v>1690.67</v>
      </c>
      <c r="Q21" s="79">
        <v>2</v>
      </c>
      <c r="R21" s="118">
        <v>120</v>
      </c>
      <c r="S21" s="79">
        <v>0</v>
      </c>
      <c r="T21" s="118">
        <v>0</v>
      </c>
      <c r="U21" s="70">
        <f t="shared" si="9"/>
        <v>240</v>
      </c>
      <c r="V21" s="70">
        <f t="shared" si="10"/>
        <v>1930.67</v>
      </c>
      <c r="W21" s="70">
        <f t="shared" si="11"/>
        <v>1930.67</v>
      </c>
      <c r="X21" s="79"/>
    </row>
    <row r="22" spans="1:24" s="119" customFormat="1" ht="14.5" x14ac:dyDescent="0.3">
      <c r="A22" s="126" t="s">
        <v>229</v>
      </c>
      <c r="B22" s="126" t="s">
        <v>229</v>
      </c>
      <c r="C22" s="146" t="s">
        <v>698</v>
      </c>
      <c r="D22" s="47">
        <v>0</v>
      </c>
      <c r="E22" s="110" t="s">
        <v>561</v>
      </c>
      <c r="F22" s="152" t="s">
        <v>838</v>
      </c>
      <c r="G22" s="76" t="s">
        <v>31</v>
      </c>
      <c r="H22" s="76" t="s">
        <v>32</v>
      </c>
      <c r="I22" s="76" t="s">
        <v>33</v>
      </c>
      <c r="J22" s="153" t="s">
        <v>38</v>
      </c>
      <c r="K22" s="153" t="s">
        <v>39</v>
      </c>
      <c r="L22" s="117">
        <v>45434</v>
      </c>
      <c r="M22" s="117">
        <v>45435</v>
      </c>
      <c r="N22" s="130">
        <f>1814.29/2</f>
        <v>907.14499999999998</v>
      </c>
      <c r="O22" s="130">
        <f>1814.29/2</f>
        <v>907.14499999999998</v>
      </c>
      <c r="P22" s="130">
        <f t="shared" si="1"/>
        <v>1814.29</v>
      </c>
      <c r="Q22" s="79">
        <v>0</v>
      </c>
      <c r="R22" s="118">
        <v>120</v>
      </c>
      <c r="S22" s="79">
        <v>0</v>
      </c>
      <c r="T22" s="118">
        <v>0</v>
      </c>
      <c r="U22" s="70">
        <f t="shared" si="9"/>
        <v>0</v>
      </c>
      <c r="V22" s="70">
        <f t="shared" si="10"/>
        <v>1814.29</v>
      </c>
      <c r="W22" s="70">
        <f t="shared" si="11"/>
        <v>1814.29</v>
      </c>
      <c r="X22" s="79"/>
    </row>
    <row r="23" spans="1:24" s="119" customFormat="1" ht="14.5" x14ac:dyDescent="0.3">
      <c r="A23" s="126" t="s">
        <v>372</v>
      </c>
      <c r="B23" s="126" t="s">
        <v>372</v>
      </c>
      <c r="C23" s="146" t="s">
        <v>819</v>
      </c>
      <c r="D23" s="47">
        <v>0</v>
      </c>
      <c r="E23" s="149" t="s">
        <v>88</v>
      </c>
      <c r="F23" s="152" t="s">
        <v>839</v>
      </c>
      <c r="G23" s="76" t="s">
        <v>31</v>
      </c>
      <c r="H23" s="76" t="s">
        <v>32</v>
      </c>
      <c r="I23" s="76" t="s">
        <v>33</v>
      </c>
      <c r="J23" s="153" t="s">
        <v>111</v>
      </c>
      <c r="K23" s="153" t="s">
        <v>112</v>
      </c>
      <c r="L23" s="117">
        <v>45433</v>
      </c>
      <c r="M23" s="117">
        <v>45439</v>
      </c>
      <c r="N23" s="130">
        <f>1898.85/2</f>
        <v>949.42499999999995</v>
      </c>
      <c r="O23" s="130">
        <f>1898.85/2</f>
        <v>949.42499999999995</v>
      </c>
      <c r="P23" s="130">
        <f t="shared" ref="P23:P26" si="12">SUM(N23:O23)</f>
        <v>1898.85</v>
      </c>
      <c r="Q23" s="79">
        <v>0</v>
      </c>
      <c r="R23" s="118">
        <v>120</v>
      </c>
      <c r="S23" s="79">
        <v>0</v>
      </c>
      <c r="T23" s="118">
        <v>0</v>
      </c>
      <c r="U23" s="70">
        <f t="shared" ref="U23" si="13">Q23*R23+S23*T23</f>
        <v>0</v>
      </c>
      <c r="V23" s="70">
        <f t="shared" ref="V23" si="14">P23+U23</f>
        <v>1898.85</v>
      </c>
      <c r="W23" s="70">
        <f t="shared" ref="W23" si="15">V23</f>
        <v>1898.85</v>
      </c>
      <c r="X23" s="79"/>
    </row>
    <row r="24" spans="1:24" s="119" customFormat="1" ht="14.5" x14ac:dyDescent="0.3">
      <c r="A24" s="126" t="s">
        <v>250</v>
      </c>
      <c r="B24" s="126" t="s">
        <v>212</v>
      </c>
      <c r="C24" s="146" t="s">
        <v>612</v>
      </c>
      <c r="D24" s="47">
        <v>365</v>
      </c>
      <c r="E24" s="110" t="s">
        <v>52</v>
      </c>
      <c r="F24" s="152" t="s">
        <v>840</v>
      </c>
      <c r="G24" s="76" t="s">
        <v>31</v>
      </c>
      <c r="H24" s="76" t="s">
        <v>32</v>
      </c>
      <c r="I24" s="76" t="s">
        <v>33</v>
      </c>
      <c r="J24" s="153" t="s">
        <v>32</v>
      </c>
      <c r="K24" s="153" t="s">
        <v>390</v>
      </c>
      <c r="L24" s="117">
        <v>45419</v>
      </c>
      <c r="M24" s="117">
        <v>45421</v>
      </c>
      <c r="N24" s="130">
        <f>1566.08/2</f>
        <v>783.04</v>
      </c>
      <c r="O24" s="130">
        <f>1566.08/2</f>
        <v>783.04</v>
      </c>
      <c r="P24" s="130">
        <f t="shared" si="12"/>
        <v>1566.08</v>
      </c>
      <c r="Q24" s="79">
        <v>3</v>
      </c>
      <c r="R24" s="118">
        <v>120</v>
      </c>
      <c r="S24" s="79">
        <v>0</v>
      </c>
      <c r="T24" s="118">
        <v>0</v>
      </c>
      <c r="U24" s="70">
        <f t="shared" ref="U24:U25" si="16">Q24*R24+S24*T24</f>
        <v>360</v>
      </c>
      <c r="V24" s="70">
        <f t="shared" ref="V24:V25" si="17">P24+U24</f>
        <v>1926.08</v>
      </c>
      <c r="W24" s="70">
        <f t="shared" ref="W24:W25" si="18">V24</f>
        <v>1926.08</v>
      </c>
      <c r="X24" s="79"/>
    </row>
    <row r="25" spans="1:24" s="119" customFormat="1" ht="14.5" x14ac:dyDescent="0.3">
      <c r="A25" s="126" t="s">
        <v>250</v>
      </c>
      <c r="B25" s="126" t="s">
        <v>212</v>
      </c>
      <c r="C25" s="146" t="s">
        <v>270</v>
      </c>
      <c r="D25" s="47" t="s">
        <v>173</v>
      </c>
      <c r="E25" s="110" t="s">
        <v>599</v>
      </c>
      <c r="F25" s="152" t="s">
        <v>840</v>
      </c>
      <c r="G25" s="76" t="s">
        <v>31</v>
      </c>
      <c r="H25" s="76" t="s">
        <v>32</v>
      </c>
      <c r="I25" s="76" t="s">
        <v>33</v>
      </c>
      <c r="J25" s="153" t="s">
        <v>32</v>
      </c>
      <c r="K25" s="153" t="s">
        <v>390</v>
      </c>
      <c r="L25" s="117">
        <v>45419</v>
      </c>
      <c r="M25" s="117">
        <v>45421</v>
      </c>
      <c r="N25" s="130">
        <f>1566.08/2</f>
        <v>783.04</v>
      </c>
      <c r="O25" s="130">
        <f>1566.08/2</f>
        <v>783.04</v>
      </c>
      <c r="P25" s="130">
        <f t="shared" si="12"/>
        <v>1566.08</v>
      </c>
      <c r="Q25" s="79">
        <v>3</v>
      </c>
      <c r="R25" s="118">
        <v>120</v>
      </c>
      <c r="S25" s="79">
        <v>0</v>
      </c>
      <c r="T25" s="118">
        <v>0</v>
      </c>
      <c r="U25" s="70">
        <f t="shared" si="16"/>
        <v>360</v>
      </c>
      <c r="V25" s="70">
        <f t="shared" si="17"/>
        <v>1926.08</v>
      </c>
      <c r="W25" s="70">
        <f t="shared" si="18"/>
        <v>1926.08</v>
      </c>
      <c r="X25" s="79"/>
    </row>
    <row r="26" spans="1:24" s="119" customFormat="1" ht="14.5" x14ac:dyDescent="0.3">
      <c r="A26" s="126" t="s">
        <v>229</v>
      </c>
      <c r="B26" s="126" t="s">
        <v>461</v>
      </c>
      <c r="C26" s="153" t="s">
        <v>396</v>
      </c>
      <c r="D26" s="47">
        <v>349</v>
      </c>
      <c r="E26" s="153" t="s">
        <v>406</v>
      </c>
      <c r="F26" s="152" t="s">
        <v>841</v>
      </c>
      <c r="G26" s="76" t="s">
        <v>31</v>
      </c>
      <c r="H26" s="76" t="s">
        <v>32</v>
      </c>
      <c r="I26" s="76" t="s">
        <v>33</v>
      </c>
      <c r="J26" s="153" t="s">
        <v>462</v>
      </c>
      <c r="K26" s="153" t="s">
        <v>424</v>
      </c>
      <c r="L26" s="117">
        <v>45419</v>
      </c>
      <c r="M26" s="117">
        <v>45422</v>
      </c>
      <c r="N26" s="130">
        <f>1440.53/2</f>
        <v>720.26499999999999</v>
      </c>
      <c r="O26" s="130">
        <f>1440.53/2</f>
        <v>720.26499999999999</v>
      </c>
      <c r="P26" s="130">
        <f t="shared" si="12"/>
        <v>1440.53</v>
      </c>
      <c r="Q26" s="79">
        <v>4</v>
      </c>
      <c r="R26" s="118">
        <v>120</v>
      </c>
      <c r="S26" s="79">
        <v>0</v>
      </c>
      <c r="T26" s="118">
        <v>0</v>
      </c>
      <c r="U26" s="70">
        <f t="shared" ref="U26" si="19">Q26*R26+S26*T26</f>
        <v>480</v>
      </c>
      <c r="V26" s="70">
        <f t="shared" ref="V26" si="20">P26+U26</f>
        <v>1920.53</v>
      </c>
      <c r="W26" s="70">
        <f t="shared" ref="W26" si="21">V26</f>
        <v>1920.53</v>
      </c>
      <c r="X26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4"/>
  <sheetViews>
    <sheetView workbookViewId="0">
      <selection activeCell="A13" sqref="A13:B13"/>
    </sheetView>
  </sheetViews>
  <sheetFormatPr defaultRowHeight="15" customHeight="1" x14ac:dyDescent="0.3"/>
  <cols>
    <col min="1" max="1" width="19.08203125" customWidth="1"/>
    <col min="2" max="2" width="15.3320312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6" t="s">
        <v>0</v>
      </c>
      <c r="W5" s="336"/>
      <c r="X5" s="8">
        <v>43160</v>
      </c>
    </row>
    <row r="6" spans="1:24" ht="14" x14ac:dyDescent="0.3">
      <c r="A6" s="337" t="s">
        <v>4</v>
      </c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</row>
    <row r="7" spans="1:24" ht="14" x14ac:dyDescent="0.3">
      <c r="A7" s="337" t="s">
        <v>5</v>
      </c>
      <c r="B7" s="337"/>
      <c r="C7" s="337" t="s">
        <v>6</v>
      </c>
      <c r="D7" s="337"/>
      <c r="E7" s="337"/>
      <c r="F7" s="337" t="s">
        <v>3</v>
      </c>
      <c r="G7" s="337"/>
      <c r="H7" s="337"/>
      <c r="I7" s="337"/>
      <c r="J7" s="337"/>
      <c r="K7" s="337"/>
      <c r="L7" s="337"/>
      <c r="M7" s="337"/>
      <c r="N7" s="337" t="s">
        <v>7</v>
      </c>
      <c r="O7" s="337"/>
      <c r="P7" s="337"/>
      <c r="Q7" s="337" t="s">
        <v>1</v>
      </c>
      <c r="R7" s="337"/>
      <c r="S7" s="337"/>
      <c r="T7" s="337"/>
      <c r="U7" s="337"/>
      <c r="V7" s="337"/>
      <c r="W7" s="337" t="s">
        <v>8</v>
      </c>
      <c r="X7" s="337" t="s">
        <v>9</v>
      </c>
    </row>
    <row r="8" spans="1:24" s="9" customFormat="1" ht="14" x14ac:dyDescent="0.3">
      <c r="A8" s="338" t="s">
        <v>10</v>
      </c>
      <c r="B8" s="338" t="s">
        <v>11</v>
      </c>
      <c r="C8" s="338" t="s">
        <v>12</v>
      </c>
      <c r="D8" s="338" t="s">
        <v>13</v>
      </c>
      <c r="E8" s="338" t="s">
        <v>14</v>
      </c>
      <c r="F8" s="338" t="s">
        <v>15</v>
      </c>
      <c r="G8" s="338" t="s">
        <v>16</v>
      </c>
      <c r="H8" s="338" t="s">
        <v>17</v>
      </c>
      <c r="I8" s="338"/>
      <c r="J8" s="339" t="s">
        <v>18</v>
      </c>
      <c r="K8" s="339"/>
      <c r="L8" s="338" t="s">
        <v>19</v>
      </c>
      <c r="M8" s="338" t="s">
        <v>20</v>
      </c>
      <c r="N8" s="339" t="s">
        <v>21</v>
      </c>
      <c r="O8" s="339" t="s">
        <v>22</v>
      </c>
      <c r="P8" s="339" t="s">
        <v>23</v>
      </c>
      <c r="Q8" s="339" t="s">
        <v>24</v>
      </c>
      <c r="R8" s="339"/>
      <c r="S8" s="339" t="s">
        <v>25</v>
      </c>
      <c r="T8" s="339"/>
      <c r="U8" s="338" t="s">
        <v>26</v>
      </c>
      <c r="V8" s="339" t="s">
        <v>23</v>
      </c>
      <c r="W8" s="337"/>
      <c r="X8" s="337"/>
    </row>
    <row r="9" spans="1:24" s="9" customFormat="1" ht="17.25" customHeight="1" x14ac:dyDescent="0.3">
      <c r="A9" s="338"/>
      <c r="B9" s="338"/>
      <c r="C9" s="338"/>
      <c r="D9" s="338"/>
      <c r="E9" s="338"/>
      <c r="F9" s="338"/>
      <c r="G9" s="338"/>
      <c r="H9" s="10" t="s">
        <v>27</v>
      </c>
      <c r="I9" s="10" t="s">
        <v>28</v>
      </c>
      <c r="J9" s="10" t="s">
        <v>27</v>
      </c>
      <c r="K9" s="11" t="s">
        <v>29</v>
      </c>
      <c r="L9" s="338"/>
      <c r="M9" s="338"/>
      <c r="N9" s="339"/>
      <c r="O9" s="339"/>
      <c r="P9" s="339"/>
      <c r="Q9" s="10" t="s">
        <v>2</v>
      </c>
      <c r="R9" s="11" t="s">
        <v>30</v>
      </c>
      <c r="S9" s="10" t="s">
        <v>2</v>
      </c>
      <c r="T9" s="11" t="s">
        <v>30</v>
      </c>
      <c r="U9" s="338"/>
      <c r="V9" s="339"/>
      <c r="W9" s="337"/>
      <c r="X9" s="337"/>
    </row>
    <row r="10" spans="1:24" ht="47.25" customHeight="1" x14ac:dyDescent="0.3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2.5" x14ac:dyDescent="0.3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" x14ac:dyDescent="0.3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7.5" x14ac:dyDescent="0.3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7.5" x14ac:dyDescent="0.3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0CCC1-FC23-4B41-83EF-4F6E1AF091F1}">
  <dimension ref="A1:X16"/>
  <sheetViews>
    <sheetView workbookViewId="0">
      <selection activeCell="A22" sqref="A22:E25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92"/>
      <c r="B4" s="392"/>
      <c r="C4" s="392"/>
      <c r="D4" s="392"/>
      <c r="E4" s="392"/>
      <c r="F4" s="392"/>
      <c r="G4" s="392"/>
      <c r="H4" s="10" t="s">
        <v>27</v>
      </c>
      <c r="I4" s="10" t="s">
        <v>28</v>
      </c>
      <c r="J4" s="10" t="s">
        <v>27</v>
      </c>
      <c r="K4" s="11" t="s">
        <v>29</v>
      </c>
      <c r="L4" s="392"/>
      <c r="M4" s="392"/>
      <c r="N4" s="393"/>
      <c r="O4" s="393"/>
      <c r="P4" s="393"/>
      <c r="Q4" s="10" t="s">
        <v>2</v>
      </c>
      <c r="R4" s="11" t="s">
        <v>30</v>
      </c>
      <c r="S4" s="10" t="s">
        <v>2</v>
      </c>
      <c r="T4" s="11" t="s">
        <v>30</v>
      </c>
      <c r="U4" s="392"/>
      <c r="V4" s="393"/>
      <c r="W4" s="394"/>
      <c r="X4" s="391"/>
    </row>
    <row r="5" spans="1:24" s="119" customFormat="1" ht="14.5" x14ac:dyDescent="0.3">
      <c r="A5" s="126" t="s">
        <v>250</v>
      </c>
      <c r="B5" s="154" t="s">
        <v>258</v>
      </c>
      <c r="C5" s="153" t="s">
        <v>830</v>
      </c>
      <c r="D5" s="47">
        <v>410</v>
      </c>
      <c r="E5" s="153" t="s">
        <v>797</v>
      </c>
      <c r="F5" s="150" t="s">
        <v>847</v>
      </c>
      <c r="G5" s="76" t="s">
        <v>31</v>
      </c>
      <c r="H5" s="76" t="s">
        <v>32</v>
      </c>
      <c r="I5" s="76" t="s">
        <v>33</v>
      </c>
      <c r="J5" s="154" t="s">
        <v>32</v>
      </c>
      <c r="K5" s="154" t="s">
        <v>390</v>
      </c>
      <c r="L5" s="117">
        <v>45448</v>
      </c>
      <c r="M5" s="117">
        <v>45450</v>
      </c>
      <c r="N5" s="130">
        <f>1710.08/2</f>
        <v>855.04</v>
      </c>
      <c r="O5" s="130">
        <f>1710.08/2</f>
        <v>855.04</v>
      </c>
      <c r="P5" s="130">
        <f t="shared" ref="P5:P16" si="0">SUM(N5:O5)</f>
        <v>1710.08</v>
      </c>
      <c r="Q5" s="79">
        <v>3</v>
      </c>
      <c r="R5" s="118">
        <v>120</v>
      </c>
      <c r="S5" s="79">
        <v>0</v>
      </c>
      <c r="T5" s="118">
        <v>0</v>
      </c>
      <c r="U5" s="70">
        <f t="shared" ref="U5:U16" si="1">Q5*R5+S5*T5</f>
        <v>360</v>
      </c>
      <c r="V5" s="70">
        <f t="shared" ref="V5:V16" si="2">P5+U5</f>
        <v>2070.08</v>
      </c>
      <c r="W5" s="70">
        <f t="shared" ref="W5:W16" si="3">V5</f>
        <v>2070.08</v>
      </c>
      <c r="X5" s="79"/>
    </row>
    <row r="6" spans="1:24" s="119" customFormat="1" ht="14.5" x14ac:dyDescent="0.3">
      <c r="A6" s="126" t="s">
        <v>229</v>
      </c>
      <c r="B6" s="126" t="s">
        <v>229</v>
      </c>
      <c r="C6" s="153" t="s">
        <v>698</v>
      </c>
      <c r="D6" s="47">
        <v>0</v>
      </c>
      <c r="E6" s="110" t="s">
        <v>561</v>
      </c>
      <c r="F6" s="152" t="s">
        <v>845</v>
      </c>
      <c r="G6" s="76" t="s">
        <v>31</v>
      </c>
      <c r="H6" s="76" t="s">
        <v>32</v>
      </c>
      <c r="I6" s="76" t="s">
        <v>33</v>
      </c>
      <c r="J6" s="154" t="s">
        <v>364</v>
      </c>
      <c r="K6" s="154" t="s">
        <v>363</v>
      </c>
      <c r="L6" s="117">
        <v>45448</v>
      </c>
      <c r="M6" s="117">
        <v>45450</v>
      </c>
      <c r="N6" s="130">
        <f>831.54/2</f>
        <v>415.77</v>
      </c>
      <c r="O6" s="130">
        <f>831.54/2</f>
        <v>415.77</v>
      </c>
      <c r="P6" s="130">
        <f t="shared" si="0"/>
        <v>831.54</v>
      </c>
      <c r="Q6" s="79">
        <v>0</v>
      </c>
      <c r="R6" s="118">
        <v>120</v>
      </c>
      <c r="S6" s="79">
        <v>0</v>
      </c>
      <c r="T6" s="118">
        <v>0</v>
      </c>
      <c r="U6" s="70">
        <f t="shared" si="1"/>
        <v>0</v>
      </c>
      <c r="V6" s="70">
        <f t="shared" si="2"/>
        <v>831.54</v>
      </c>
      <c r="W6" s="70">
        <f t="shared" si="3"/>
        <v>831.54</v>
      </c>
      <c r="X6" s="79"/>
    </row>
    <row r="7" spans="1:24" s="119" customFormat="1" ht="14.5" x14ac:dyDescent="0.3">
      <c r="A7" s="126" t="s">
        <v>229</v>
      </c>
      <c r="B7" s="126" t="s">
        <v>214</v>
      </c>
      <c r="C7" s="149" t="s">
        <v>745</v>
      </c>
      <c r="D7" s="47">
        <v>386</v>
      </c>
      <c r="E7" s="110" t="s">
        <v>221</v>
      </c>
      <c r="F7" s="152" t="s">
        <v>845</v>
      </c>
      <c r="G7" s="76" t="s">
        <v>31</v>
      </c>
      <c r="H7" s="76" t="s">
        <v>32</v>
      </c>
      <c r="I7" s="76" t="s">
        <v>33</v>
      </c>
      <c r="J7" s="154" t="s">
        <v>364</v>
      </c>
      <c r="K7" s="154" t="s">
        <v>363</v>
      </c>
      <c r="L7" s="117">
        <v>45448</v>
      </c>
      <c r="M7" s="117">
        <v>45450</v>
      </c>
      <c r="N7" s="130">
        <f t="shared" ref="N7:O8" si="4">831.54/2</f>
        <v>415.77</v>
      </c>
      <c r="O7" s="130">
        <f t="shared" si="4"/>
        <v>415.77</v>
      </c>
      <c r="P7" s="130">
        <f t="shared" si="0"/>
        <v>831.54</v>
      </c>
      <c r="Q7" s="79">
        <v>3</v>
      </c>
      <c r="R7" s="118">
        <v>120</v>
      </c>
      <c r="S7" s="79">
        <v>0</v>
      </c>
      <c r="T7" s="118">
        <v>0</v>
      </c>
      <c r="U7" s="70">
        <f t="shared" si="1"/>
        <v>360</v>
      </c>
      <c r="V7" s="70">
        <f t="shared" si="2"/>
        <v>1191.54</v>
      </c>
      <c r="W7" s="70">
        <f t="shared" si="3"/>
        <v>1191.54</v>
      </c>
      <c r="X7" s="79"/>
    </row>
    <row r="8" spans="1:24" s="119" customFormat="1" ht="14.5" x14ac:dyDescent="0.3">
      <c r="A8" s="126" t="s">
        <v>229</v>
      </c>
      <c r="B8" s="126" t="s">
        <v>229</v>
      </c>
      <c r="C8" s="153" t="s">
        <v>757</v>
      </c>
      <c r="D8" s="47">
        <v>392</v>
      </c>
      <c r="E8" s="154" t="s">
        <v>853</v>
      </c>
      <c r="F8" s="152" t="s">
        <v>845</v>
      </c>
      <c r="G8" s="76" t="s">
        <v>31</v>
      </c>
      <c r="H8" s="76" t="s">
        <v>32</v>
      </c>
      <c r="I8" s="76" t="s">
        <v>33</v>
      </c>
      <c r="J8" s="154" t="s">
        <v>364</v>
      </c>
      <c r="K8" s="154" t="s">
        <v>363</v>
      </c>
      <c r="L8" s="117">
        <v>45448</v>
      </c>
      <c r="M8" s="117">
        <v>45450</v>
      </c>
      <c r="N8" s="130">
        <f t="shared" si="4"/>
        <v>415.77</v>
      </c>
      <c r="O8" s="130">
        <f t="shared" si="4"/>
        <v>415.77</v>
      </c>
      <c r="P8" s="130">
        <f t="shared" si="0"/>
        <v>831.54</v>
      </c>
      <c r="Q8" s="79">
        <v>3</v>
      </c>
      <c r="R8" s="118">
        <v>120</v>
      </c>
      <c r="S8" s="79">
        <v>0</v>
      </c>
      <c r="T8" s="118">
        <v>0</v>
      </c>
      <c r="U8" s="70">
        <f t="shared" si="1"/>
        <v>360</v>
      </c>
      <c r="V8" s="70">
        <f t="shared" si="2"/>
        <v>1191.54</v>
      </c>
      <c r="W8" s="70">
        <f t="shared" si="3"/>
        <v>1191.54</v>
      </c>
      <c r="X8" s="79"/>
    </row>
    <row r="9" spans="1:24" s="119" customFormat="1" ht="14.5" x14ac:dyDescent="0.3">
      <c r="A9" s="126" t="s">
        <v>250</v>
      </c>
      <c r="B9" s="126" t="s">
        <v>212</v>
      </c>
      <c r="C9" s="146" t="s">
        <v>95</v>
      </c>
      <c r="D9" s="47">
        <v>73</v>
      </c>
      <c r="E9" s="154" t="s">
        <v>854</v>
      </c>
      <c r="F9" s="152" t="s">
        <v>848</v>
      </c>
      <c r="G9" s="76" t="s">
        <v>31</v>
      </c>
      <c r="H9" s="76" t="s">
        <v>32</v>
      </c>
      <c r="I9" s="76" t="s">
        <v>33</v>
      </c>
      <c r="J9" s="154" t="s">
        <v>38</v>
      </c>
      <c r="K9" s="154" t="s">
        <v>39</v>
      </c>
      <c r="L9" s="117">
        <v>45466</v>
      </c>
      <c r="M9" s="117">
        <v>45471</v>
      </c>
      <c r="N9" s="130">
        <f>1891.11/2</f>
        <v>945.55499999999995</v>
      </c>
      <c r="O9" s="130">
        <f>1891.11/2</f>
        <v>945.55499999999995</v>
      </c>
      <c r="P9" s="130">
        <f t="shared" si="0"/>
        <v>1891.11</v>
      </c>
      <c r="Q9" s="79">
        <v>3</v>
      </c>
      <c r="R9" s="118">
        <v>120</v>
      </c>
      <c r="S9" s="79">
        <v>0</v>
      </c>
      <c r="T9" s="118">
        <v>0</v>
      </c>
      <c r="U9" s="70">
        <f t="shared" si="1"/>
        <v>360</v>
      </c>
      <c r="V9" s="70">
        <f t="shared" si="2"/>
        <v>2251.1099999999997</v>
      </c>
      <c r="W9" s="70">
        <f t="shared" si="3"/>
        <v>2251.1099999999997</v>
      </c>
      <c r="X9" s="79"/>
    </row>
    <row r="10" spans="1:24" s="119" customFormat="1" ht="14.5" x14ac:dyDescent="0.3">
      <c r="A10" s="126" t="s">
        <v>229</v>
      </c>
      <c r="B10" s="126" t="s">
        <v>229</v>
      </c>
      <c r="C10" s="146" t="s">
        <v>698</v>
      </c>
      <c r="D10" s="47">
        <v>0</v>
      </c>
      <c r="E10" s="110" t="s">
        <v>561</v>
      </c>
      <c r="F10" s="155" t="s">
        <v>569</v>
      </c>
      <c r="G10" s="76" t="s">
        <v>31</v>
      </c>
      <c r="H10" s="76" t="s">
        <v>32</v>
      </c>
      <c r="I10" s="76" t="s">
        <v>33</v>
      </c>
      <c r="J10" s="154" t="s">
        <v>38</v>
      </c>
      <c r="K10" s="154" t="s">
        <v>39</v>
      </c>
      <c r="L10" s="117">
        <v>45462</v>
      </c>
      <c r="M10" s="117">
        <v>45463</v>
      </c>
      <c r="N10" s="130">
        <f>2224.11/2</f>
        <v>1112.0550000000001</v>
      </c>
      <c r="O10" s="130">
        <f>2224.11/2</f>
        <v>1112.0550000000001</v>
      </c>
      <c r="P10" s="130">
        <f t="shared" si="0"/>
        <v>2224.11</v>
      </c>
      <c r="Q10" s="79">
        <v>0</v>
      </c>
      <c r="R10" s="118">
        <v>120</v>
      </c>
      <c r="S10" s="79">
        <v>0</v>
      </c>
      <c r="T10" s="118">
        <v>0</v>
      </c>
      <c r="U10" s="70">
        <f t="shared" si="1"/>
        <v>0</v>
      </c>
      <c r="V10" s="70">
        <f t="shared" si="2"/>
        <v>2224.11</v>
      </c>
      <c r="W10" s="70">
        <f t="shared" si="3"/>
        <v>2224.11</v>
      </c>
      <c r="X10" s="79"/>
    </row>
    <row r="11" spans="1:24" s="119" customFormat="1" ht="14.5" x14ac:dyDescent="0.3">
      <c r="A11" s="126" t="s">
        <v>250</v>
      </c>
      <c r="B11" s="126" t="s">
        <v>322</v>
      </c>
      <c r="C11" s="153" t="s">
        <v>320</v>
      </c>
      <c r="D11" s="47">
        <v>204</v>
      </c>
      <c r="E11" s="149" t="s">
        <v>647</v>
      </c>
      <c r="F11" s="152" t="s">
        <v>846</v>
      </c>
      <c r="G11" s="76" t="s">
        <v>31</v>
      </c>
      <c r="H11" s="76" t="s">
        <v>32</v>
      </c>
      <c r="I11" s="76" t="s">
        <v>33</v>
      </c>
      <c r="J11" s="154" t="s">
        <v>61</v>
      </c>
      <c r="K11" s="154" t="s">
        <v>413</v>
      </c>
      <c r="L11" s="117">
        <v>45468</v>
      </c>
      <c r="M11" s="117">
        <v>45470</v>
      </c>
      <c r="N11" s="130">
        <f>2379.07/2</f>
        <v>1189.5350000000001</v>
      </c>
      <c r="O11" s="130">
        <f>2379.07/2</f>
        <v>1189.5350000000001</v>
      </c>
      <c r="P11" s="130">
        <f t="shared" si="0"/>
        <v>2379.0700000000002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1"/>
        <v>360</v>
      </c>
      <c r="V11" s="70">
        <f t="shared" si="2"/>
        <v>2739.07</v>
      </c>
      <c r="W11" s="70">
        <f t="shared" si="3"/>
        <v>2739.07</v>
      </c>
      <c r="X11" s="79"/>
    </row>
    <row r="12" spans="1:24" s="119" customFormat="1" ht="14.5" x14ac:dyDescent="0.3">
      <c r="A12" s="126" t="s">
        <v>229</v>
      </c>
      <c r="B12" s="126" t="s">
        <v>215</v>
      </c>
      <c r="C12" s="153" t="s">
        <v>48</v>
      </c>
      <c r="D12" s="47">
        <v>56</v>
      </c>
      <c r="E12" s="149" t="s">
        <v>615</v>
      </c>
      <c r="F12" s="152" t="s">
        <v>849</v>
      </c>
      <c r="G12" s="76" t="s">
        <v>31</v>
      </c>
      <c r="H12" s="151" t="s">
        <v>61</v>
      </c>
      <c r="I12" s="76" t="s">
        <v>33</v>
      </c>
      <c r="J12" s="154" t="s">
        <v>38</v>
      </c>
      <c r="K12" s="154" t="s">
        <v>39</v>
      </c>
      <c r="L12" s="117">
        <v>45462</v>
      </c>
      <c r="M12" s="117">
        <v>45463</v>
      </c>
      <c r="N12" s="130">
        <f>2610.87/2</f>
        <v>1305.4349999999999</v>
      </c>
      <c r="O12" s="130">
        <f>2610.87/2</f>
        <v>1305.4349999999999</v>
      </c>
      <c r="P12" s="130">
        <f t="shared" si="0"/>
        <v>2610.87</v>
      </c>
      <c r="Q12" s="79">
        <v>2</v>
      </c>
      <c r="R12" s="118">
        <v>120</v>
      </c>
      <c r="S12" s="79">
        <v>0</v>
      </c>
      <c r="T12" s="118">
        <v>0</v>
      </c>
      <c r="U12" s="70">
        <f t="shared" si="1"/>
        <v>240</v>
      </c>
      <c r="V12" s="70">
        <f t="shared" si="2"/>
        <v>2850.87</v>
      </c>
      <c r="W12" s="70">
        <f t="shared" si="3"/>
        <v>2850.87</v>
      </c>
      <c r="X12" s="79"/>
    </row>
    <row r="13" spans="1:24" s="119" customFormat="1" ht="14.5" x14ac:dyDescent="0.3">
      <c r="A13" s="126" t="s">
        <v>250</v>
      </c>
      <c r="B13" s="126" t="s">
        <v>322</v>
      </c>
      <c r="C13" s="146" t="s">
        <v>343</v>
      </c>
      <c r="D13" s="47">
        <v>128</v>
      </c>
      <c r="E13" s="154" t="s">
        <v>842</v>
      </c>
      <c r="F13" s="152" t="s">
        <v>846</v>
      </c>
      <c r="G13" s="76" t="s">
        <v>31</v>
      </c>
      <c r="H13" s="76" t="s">
        <v>32</v>
      </c>
      <c r="I13" s="76" t="s">
        <v>33</v>
      </c>
      <c r="J13" s="154" t="s">
        <v>61</v>
      </c>
      <c r="K13" s="154" t="s">
        <v>413</v>
      </c>
      <c r="L13" s="117">
        <v>45468</v>
      </c>
      <c r="M13" s="117">
        <v>45470</v>
      </c>
      <c r="N13" s="130">
        <f>2379.97/2</f>
        <v>1189.9849999999999</v>
      </c>
      <c r="O13" s="130">
        <f>2379.97/2</f>
        <v>1189.9849999999999</v>
      </c>
      <c r="P13" s="130">
        <f t="shared" si="0"/>
        <v>2379.9699999999998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1"/>
        <v>360</v>
      </c>
      <c r="V13" s="70">
        <f t="shared" si="2"/>
        <v>2739.97</v>
      </c>
      <c r="W13" s="70">
        <f t="shared" si="3"/>
        <v>2739.97</v>
      </c>
      <c r="X13" s="79"/>
    </row>
    <row r="14" spans="1:24" s="119" customFormat="1" ht="14.5" x14ac:dyDescent="0.3">
      <c r="A14" s="126" t="s">
        <v>250</v>
      </c>
      <c r="B14" s="126" t="s">
        <v>212</v>
      </c>
      <c r="C14" s="146" t="s">
        <v>539</v>
      </c>
      <c r="D14" s="47">
        <v>159</v>
      </c>
      <c r="E14" s="154" t="s">
        <v>549</v>
      </c>
      <c r="F14" s="152" t="s">
        <v>850</v>
      </c>
      <c r="G14" s="76" t="s">
        <v>31</v>
      </c>
      <c r="H14" s="76" t="s">
        <v>32</v>
      </c>
      <c r="I14" s="76" t="s">
        <v>33</v>
      </c>
      <c r="J14" s="154" t="s">
        <v>111</v>
      </c>
      <c r="K14" s="154" t="s">
        <v>820</v>
      </c>
      <c r="L14" s="117">
        <v>45469</v>
      </c>
      <c r="M14" s="117">
        <v>45470</v>
      </c>
      <c r="N14" s="130">
        <f>1851/2</f>
        <v>925.5</v>
      </c>
      <c r="O14" s="130">
        <f>1851/2</f>
        <v>925.5</v>
      </c>
      <c r="P14" s="130">
        <f t="shared" si="0"/>
        <v>1851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 t="shared" si="2"/>
        <v>2091</v>
      </c>
      <c r="W14" s="70">
        <f t="shared" si="3"/>
        <v>2091</v>
      </c>
      <c r="X14" s="79"/>
    </row>
    <row r="15" spans="1:24" s="119" customFormat="1" ht="14.5" x14ac:dyDescent="0.3">
      <c r="A15" s="126" t="s">
        <v>250</v>
      </c>
      <c r="B15" s="126" t="s">
        <v>289</v>
      </c>
      <c r="C15" s="146" t="s">
        <v>236</v>
      </c>
      <c r="D15" s="47">
        <v>82</v>
      </c>
      <c r="E15" s="110" t="s">
        <v>89</v>
      </c>
      <c r="F15" s="152" t="s">
        <v>851</v>
      </c>
      <c r="G15" s="76" t="s">
        <v>31</v>
      </c>
      <c r="H15" s="76" t="s">
        <v>32</v>
      </c>
      <c r="I15" s="76" t="s">
        <v>33</v>
      </c>
      <c r="J15" s="154" t="s">
        <v>32</v>
      </c>
      <c r="K15" s="154" t="s">
        <v>390</v>
      </c>
      <c r="L15" s="117">
        <v>45459</v>
      </c>
      <c r="M15" s="117">
        <v>45461</v>
      </c>
      <c r="N15" s="130">
        <f>2101.95/2</f>
        <v>1050.9749999999999</v>
      </c>
      <c r="O15" s="130">
        <f>2101.95/2</f>
        <v>1050.9749999999999</v>
      </c>
      <c r="P15" s="130">
        <f t="shared" si="0"/>
        <v>2101.9499999999998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"/>
        <v>360</v>
      </c>
      <c r="V15" s="70">
        <f t="shared" si="2"/>
        <v>2461.9499999999998</v>
      </c>
      <c r="W15" s="70">
        <f t="shared" si="3"/>
        <v>2461.9499999999998</v>
      </c>
      <c r="X15" s="79"/>
    </row>
    <row r="16" spans="1:24" s="119" customFormat="1" ht="14.5" x14ac:dyDescent="0.3">
      <c r="A16" s="126" t="s">
        <v>372</v>
      </c>
      <c r="B16" s="126" t="s">
        <v>272</v>
      </c>
      <c r="C16" s="146" t="s">
        <v>752</v>
      </c>
      <c r="D16" s="47">
        <v>384</v>
      </c>
      <c r="E16" s="154" t="s">
        <v>778</v>
      </c>
      <c r="F16" s="152" t="s">
        <v>852</v>
      </c>
      <c r="G16" s="76" t="s">
        <v>31</v>
      </c>
      <c r="H16" s="76" t="s">
        <v>32</v>
      </c>
      <c r="I16" s="76" t="s">
        <v>33</v>
      </c>
      <c r="J16" s="154" t="s">
        <v>111</v>
      </c>
      <c r="K16" s="154" t="s">
        <v>820</v>
      </c>
      <c r="L16" s="117">
        <v>45469</v>
      </c>
      <c r="M16" s="117">
        <v>45470</v>
      </c>
      <c r="N16" s="130">
        <f>1852/2</f>
        <v>926</v>
      </c>
      <c r="O16" s="130">
        <f>1852/2</f>
        <v>926</v>
      </c>
      <c r="P16" s="130">
        <f t="shared" si="0"/>
        <v>1852</v>
      </c>
      <c r="Q16" s="79">
        <v>2</v>
      </c>
      <c r="R16" s="118">
        <v>120</v>
      </c>
      <c r="S16" s="79">
        <v>0</v>
      </c>
      <c r="T16" s="118">
        <v>0</v>
      </c>
      <c r="U16" s="70">
        <f t="shared" si="1"/>
        <v>240</v>
      </c>
      <c r="V16" s="70">
        <f t="shared" si="2"/>
        <v>2092</v>
      </c>
      <c r="W16" s="70">
        <f t="shared" si="3"/>
        <v>2092</v>
      </c>
      <c r="X16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EE281-2650-413C-A30D-937E1F9D50A4}">
  <dimension ref="A1:X10"/>
  <sheetViews>
    <sheetView workbookViewId="0">
      <selection activeCell="A22" sqref="A22:E25"/>
    </sheetView>
  </sheetViews>
  <sheetFormatPr defaultRowHeight="14" x14ac:dyDescent="0.3"/>
  <cols>
    <col min="1" max="1" width="31.58203125" bestFit="1" customWidth="1"/>
    <col min="2" max="2" width="38.25" bestFit="1" customWidth="1"/>
    <col min="3" max="3" width="28.75" bestFit="1" customWidth="1"/>
    <col min="4" max="4" width="9" bestFit="1" customWidth="1"/>
    <col min="5" max="5" width="31.25" bestFit="1" customWidth="1"/>
    <col min="6" max="6" width="57.58203125" customWidth="1"/>
    <col min="7" max="7" width="9.08203125" bestFit="1" customWidth="1"/>
    <col min="8" max="8" width="3.33203125" bestFit="1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x14ac:dyDescent="0.3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37"/>
      <c r="J2" s="337"/>
      <c r="K2" s="337"/>
      <c r="L2" s="337"/>
      <c r="M2" s="337"/>
      <c r="N2" s="337" t="s">
        <v>7</v>
      </c>
      <c r="O2" s="337"/>
      <c r="P2" s="337"/>
      <c r="Q2" s="337" t="s">
        <v>1</v>
      </c>
      <c r="R2" s="337"/>
      <c r="S2" s="337"/>
      <c r="T2" s="337"/>
      <c r="U2" s="337"/>
      <c r="V2" s="337"/>
      <c r="W2" s="337" t="s">
        <v>8</v>
      </c>
      <c r="X2" s="390" t="s">
        <v>9</v>
      </c>
    </row>
    <row r="3" spans="1:24" x14ac:dyDescent="0.3">
      <c r="A3" s="338" t="s">
        <v>10</v>
      </c>
      <c r="B3" s="338" t="s">
        <v>11</v>
      </c>
      <c r="C3" s="338" t="s">
        <v>12</v>
      </c>
      <c r="D3" s="338" t="s">
        <v>13</v>
      </c>
      <c r="E3" s="338" t="s">
        <v>14</v>
      </c>
      <c r="F3" s="338" t="s">
        <v>15</v>
      </c>
      <c r="G3" s="338" t="s">
        <v>16</v>
      </c>
      <c r="H3" s="338" t="s">
        <v>17</v>
      </c>
      <c r="I3" s="338"/>
      <c r="J3" s="339" t="s">
        <v>18</v>
      </c>
      <c r="K3" s="339"/>
      <c r="L3" s="338" t="s">
        <v>19</v>
      </c>
      <c r="M3" s="338" t="s">
        <v>20</v>
      </c>
      <c r="N3" s="339" t="s">
        <v>21</v>
      </c>
      <c r="O3" s="339" t="s">
        <v>22</v>
      </c>
      <c r="P3" s="339" t="s">
        <v>23</v>
      </c>
      <c r="Q3" s="339" t="s">
        <v>24</v>
      </c>
      <c r="R3" s="339"/>
      <c r="S3" s="339" t="s">
        <v>25</v>
      </c>
      <c r="T3" s="339"/>
      <c r="U3" s="338" t="s">
        <v>26</v>
      </c>
      <c r="V3" s="339" t="s">
        <v>23</v>
      </c>
      <c r="W3" s="337"/>
      <c r="X3" s="390"/>
    </row>
    <row r="4" spans="1:24" x14ac:dyDescent="0.3">
      <c r="A4" s="392"/>
      <c r="B4" s="392"/>
      <c r="C4" s="392"/>
      <c r="D4" s="392"/>
      <c r="E4" s="392"/>
      <c r="F4" s="392"/>
      <c r="G4" s="392"/>
      <c r="H4" s="10" t="s">
        <v>27</v>
      </c>
      <c r="I4" s="10" t="s">
        <v>28</v>
      </c>
      <c r="J4" s="10" t="s">
        <v>27</v>
      </c>
      <c r="K4" s="11" t="s">
        <v>29</v>
      </c>
      <c r="L4" s="392"/>
      <c r="M4" s="392"/>
      <c r="N4" s="393"/>
      <c r="O4" s="393"/>
      <c r="P4" s="393"/>
      <c r="Q4" s="10" t="s">
        <v>2</v>
      </c>
      <c r="R4" s="11" t="s">
        <v>30</v>
      </c>
      <c r="S4" s="10" t="s">
        <v>2</v>
      </c>
      <c r="T4" s="11" t="s">
        <v>30</v>
      </c>
      <c r="U4" s="392"/>
      <c r="V4" s="393"/>
      <c r="W4" s="394"/>
      <c r="X4" s="391"/>
    </row>
    <row r="5" spans="1:24" s="119" customFormat="1" ht="14.5" x14ac:dyDescent="0.3">
      <c r="A5" s="164" t="s">
        <v>857</v>
      </c>
      <c r="B5" s="164" t="s">
        <v>857</v>
      </c>
      <c r="C5" s="156" t="s">
        <v>378</v>
      </c>
      <c r="D5" s="47">
        <v>0</v>
      </c>
      <c r="E5" s="110" t="s">
        <v>55</v>
      </c>
      <c r="F5" s="157" t="s">
        <v>801</v>
      </c>
      <c r="G5" s="76" t="s">
        <v>31</v>
      </c>
      <c r="H5" s="76" t="s">
        <v>32</v>
      </c>
      <c r="I5" s="76" t="s">
        <v>33</v>
      </c>
      <c r="J5" s="156" t="s">
        <v>61</v>
      </c>
      <c r="K5" s="156" t="s">
        <v>62</v>
      </c>
      <c r="L5" s="117">
        <v>45483</v>
      </c>
      <c r="M5" s="117">
        <v>45490</v>
      </c>
      <c r="N5" s="130">
        <f>1982.97/2</f>
        <v>991.48500000000001</v>
      </c>
      <c r="O5" s="130">
        <f>1982.97/2</f>
        <v>991.48500000000001</v>
      </c>
      <c r="P5" s="130">
        <f t="shared" ref="P5:P10" si="0">SUM(N5:O5)</f>
        <v>1982.97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8" si="1">Q5*R5+S5*T5</f>
        <v>0</v>
      </c>
      <c r="V5" s="70">
        <f t="shared" ref="V5:V8" si="2">P5+U5</f>
        <v>1982.97</v>
      </c>
      <c r="W5" s="70">
        <f t="shared" ref="W5:W8" si="3">V5</f>
        <v>1982.97</v>
      </c>
      <c r="X5" s="79"/>
    </row>
    <row r="6" spans="1:24" s="119" customFormat="1" ht="29" x14ac:dyDescent="0.3">
      <c r="A6" s="126" t="s">
        <v>229</v>
      </c>
      <c r="B6" s="126" t="s">
        <v>229</v>
      </c>
      <c r="C6" s="153" t="s">
        <v>698</v>
      </c>
      <c r="D6" s="47">
        <v>0</v>
      </c>
      <c r="E6" s="110" t="s">
        <v>561</v>
      </c>
      <c r="F6" s="157" t="s">
        <v>855</v>
      </c>
      <c r="G6" s="76" t="s">
        <v>31</v>
      </c>
      <c r="H6" s="76" t="s">
        <v>32</v>
      </c>
      <c r="I6" s="76" t="s">
        <v>33</v>
      </c>
      <c r="J6" s="156" t="s">
        <v>409</v>
      </c>
      <c r="K6" s="156" t="s">
        <v>408</v>
      </c>
      <c r="L6" s="117">
        <v>45497</v>
      </c>
      <c r="M6" s="117">
        <v>45498</v>
      </c>
      <c r="N6" s="130">
        <f>2494.34/2</f>
        <v>1247.17</v>
      </c>
      <c r="O6" s="130">
        <f>2494.34/2</f>
        <v>1247.17</v>
      </c>
      <c r="P6" s="130">
        <f t="shared" si="0"/>
        <v>2494.34</v>
      </c>
      <c r="Q6" s="79">
        <v>0</v>
      </c>
      <c r="R6" s="118">
        <v>120</v>
      </c>
      <c r="S6" s="79">
        <v>0</v>
      </c>
      <c r="T6" s="118">
        <v>0</v>
      </c>
      <c r="U6" s="70">
        <f t="shared" si="1"/>
        <v>0</v>
      </c>
      <c r="V6" s="70">
        <f t="shared" si="2"/>
        <v>2494.34</v>
      </c>
      <c r="W6" s="70">
        <f t="shared" si="3"/>
        <v>2494.34</v>
      </c>
      <c r="X6" s="79"/>
    </row>
    <row r="7" spans="1:24" s="119" customFormat="1" ht="29" x14ac:dyDescent="0.3">
      <c r="A7" s="126" t="s">
        <v>229</v>
      </c>
      <c r="B7" s="126" t="s">
        <v>362</v>
      </c>
      <c r="C7" s="149" t="s">
        <v>788</v>
      </c>
      <c r="D7" s="47">
        <v>393</v>
      </c>
      <c r="E7" s="144" t="s">
        <v>796</v>
      </c>
      <c r="F7" s="152" t="s">
        <v>856</v>
      </c>
      <c r="G7" s="76" t="s">
        <v>31</v>
      </c>
      <c r="H7" s="76" t="s">
        <v>32</v>
      </c>
      <c r="I7" s="76" t="s">
        <v>33</v>
      </c>
      <c r="J7" s="156" t="s">
        <v>409</v>
      </c>
      <c r="K7" s="156" t="s">
        <v>408</v>
      </c>
      <c r="L7" s="117">
        <v>45497</v>
      </c>
      <c r="M7" s="117">
        <v>45498</v>
      </c>
      <c r="N7" s="130">
        <f>2170.94/2</f>
        <v>1085.47</v>
      </c>
      <c r="O7" s="130">
        <f>2170.94/2</f>
        <v>1085.47</v>
      </c>
      <c r="P7" s="253">
        <f t="shared" si="0"/>
        <v>2170.94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2410.94</v>
      </c>
      <c r="W7" s="70">
        <f t="shared" si="3"/>
        <v>2410.94</v>
      </c>
      <c r="X7" s="79"/>
    </row>
    <row r="8" spans="1:24" s="119" customFormat="1" ht="14.5" x14ac:dyDescent="0.3">
      <c r="A8" s="427" t="s">
        <v>229</v>
      </c>
      <c r="B8" s="427" t="s">
        <v>229</v>
      </c>
      <c r="C8" s="436" t="s">
        <v>698</v>
      </c>
      <c r="D8" s="421">
        <v>0</v>
      </c>
      <c r="E8" s="437" t="s">
        <v>561</v>
      </c>
      <c r="F8" s="440" t="s">
        <v>856</v>
      </c>
      <c r="G8" s="76" t="s">
        <v>31</v>
      </c>
      <c r="H8" s="76" t="s">
        <v>32</v>
      </c>
      <c r="I8" s="76" t="s">
        <v>33</v>
      </c>
      <c r="J8" s="156" t="s">
        <v>38</v>
      </c>
      <c r="K8" s="156" t="s">
        <v>39</v>
      </c>
      <c r="L8" s="158">
        <v>45482</v>
      </c>
      <c r="M8" s="158">
        <v>45484</v>
      </c>
      <c r="N8" s="130">
        <f>2015.83/2</f>
        <v>1007.915</v>
      </c>
      <c r="O8" s="130">
        <f>2015.83/2</f>
        <v>1007.915</v>
      </c>
      <c r="P8" s="130">
        <f t="shared" si="0"/>
        <v>2015.83</v>
      </c>
      <c r="Q8" s="397">
        <v>0</v>
      </c>
      <c r="R8" s="404">
        <v>120</v>
      </c>
      <c r="S8" s="397">
        <v>0</v>
      </c>
      <c r="T8" s="404">
        <v>0</v>
      </c>
      <c r="U8" s="395">
        <f t="shared" si="1"/>
        <v>0</v>
      </c>
      <c r="V8" s="395">
        <f t="shared" si="2"/>
        <v>2015.83</v>
      </c>
      <c r="W8" s="395">
        <f t="shared" si="3"/>
        <v>2015.83</v>
      </c>
      <c r="X8" s="397"/>
    </row>
    <row r="9" spans="1:24" s="119" customFormat="1" ht="14.5" x14ac:dyDescent="0.3">
      <c r="A9" s="427"/>
      <c r="B9" s="427"/>
      <c r="C9" s="436"/>
      <c r="D9" s="422"/>
      <c r="E9" s="438"/>
      <c r="F9" s="441"/>
      <c r="G9" s="76" t="s">
        <v>31</v>
      </c>
      <c r="H9" s="156" t="s">
        <v>38</v>
      </c>
      <c r="I9" s="156" t="s">
        <v>39</v>
      </c>
      <c r="J9" s="156" t="s">
        <v>61</v>
      </c>
      <c r="K9" s="156" t="s">
        <v>62</v>
      </c>
      <c r="L9" s="158">
        <v>45484</v>
      </c>
      <c r="M9" s="158">
        <v>45485</v>
      </c>
      <c r="N9" s="130">
        <f>1998.31/2</f>
        <v>999.15499999999997</v>
      </c>
      <c r="O9" s="130">
        <f>1998.31/2</f>
        <v>999.15499999999997</v>
      </c>
      <c r="P9" s="130">
        <f t="shared" si="0"/>
        <v>1998.31</v>
      </c>
      <c r="Q9" s="435"/>
      <c r="R9" s="413"/>
      <c r="S9" s="435"/>
      <c r="T9" s="413"/>
      <c r="U9" s="415"/>
      <c r="V9" s="415"/>
      <c r="W9" s="415"/>
      <c r="X9" s="435"/>
    </row>
    <row r="10" spans="1:24" ht="14.5" x14ac:dyDescent="0.3">
      <c r="A10" s="427"/>
      <c r="B10" s="427"/>
      <c r="C10" s="436"/>
      <c r="D10" s="423"/>
      <c r="E10" s="439"/>
      <c r="F10" s="441"/>
      <c r="G10" s="76" t="s">
        <v>31</v>
      </c>
      <c r="H10" s="156" t="s">
        <v>61</v>
      </c>
      <c r="I10" s="156" t="s">
        <v>62</v>
      </c>
      <c r="J10" s="76" t="s">
        <v>32</v>
      </c>
      <c r="K10" s="76" t="s">
        <v>33</v>
      </c>
      <c r="L10" s="158">
        <v>45485</v>
      </c>
      <c r="M10" s="158">
        <v>45485</v>
      </c>
      <c r="N10" s="130">
        <f>2400.31/2</f>
        <v>1200.155</v>
      </c>
      <c r="O10" s="130">
        <f>2400.31/2</f>
        <v>1200.155</v>
      </c>
      <c r="P10" s="130">
        <f t="shared" si="0"/>
        <v>2400.31</v>
      </c>
      <c r="Q10" s="398"/>
      <c r="R10" s="405"/>
      <c r="S10" s="398"/>
      <c r="T10" s="405"/>
      <c r="U10" s="396"/>
      <c r="V10" s="396"/>
      <c r="W10" s="396"/>
      <c r="X10" s="398"/>
    </row>
  </sheetData>
  <mergeCells count="40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U3:U4"/>
    <mergeCell ref="V3:V4"/>
    <mergeCell ref="E3:E4"/>
    <mergeCell ref="F3:F4"/>
    <mergeCell ref="A8:A10"/>
    <mergeCell ref="Q8:Q10"/>
    <mergeCell ref="R8:R10"/>
    <mergeCell ref="Q3:R3"/>
    <mergeCell ref="S3:T3"/>
    <mergeCell ref="C3:C4"/>
    <mergeCell ref="D3:D4"/>
    <mergeCell ref="G3:G4"/>
    <mergeCell ref="H3:I3"/>
    <mergeCell ref="J3:K3"/>
    <mergeCell ref="L3:L4"/>
    <mergeCell ref="M3:M4"/>
    <mergeCell ref="N3:N4"/>
    <mergeCell ref="O3:O4"/>
    <mergeCell ref="P3:P4"/>
    <mergeCell ref="F8:F10"/>
    <mergeCell ref="W8:W10"/>
    <mergeCell ref="X8:X10"/>
    <mergeCell ref="D8:D10"/>
    <mergeCell ref="C8:C10"/>
    <mergeCell ref="B8:B10"/>
    <mergeCell ref="V8:V10"/>
    <mergeCell ref="E8:E10"/>
    <mergeCell ref="S8:S10"/>
    <mergeCell ref="T8:T10"/>
    <mergeCell ref="U8:U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CC632-6ADE-43C1-9711-C4671AB347BD}">
  <dimension ref="A1:U54"/>
  <sheetViews>
    <sheetView showGridLines="0" topLeftCell="A39" zoomScale="90" zoomScaleNormal="90" workbookViewId="0">
      <selection activeCell="A22" sqref="A22:E25"/>
    </sheetView>
  </sheetViews>
  <sheetFormatPr defaultRowHeight="14.5" x14ac:dyDescent="0.35"/>
  <cols>
    <col min="1" max="1" width="38.5" bestFit="1" customWidth="1"/>
    <col min="2" max="2" width="43.33203125" customWidth="1"/>
    <col min="3" max="3" width="33.83203125" style="165" customWidth="1"/>
    <col min="4" max="4" width="9.08203125" bestFit="1" customWidth="1"/>
    <col min="5" max="5" width="13.33203125" style="221" bestFit="1" customWidth="1"/>
    <col min="6" max="6" width="29.75" style="166" customWidth="1"/>
    <col min="7" max="7" width="13.83203125" bestFit="1" customWidth="1"/>
    <col min="8" max="8" width="31.08203125" style="165" bestFit="1" customWidth="1"/>
    <col min="9" max="9" width="11.5" style="165" bestFit="1" customWidth="1"/>
    <col min="10" max="10" width="9.83203125" style="165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1.25" bestFit="1" customWidth="1"/>
    <col min="21" max="21" width="64" style="165" bestFit="1" customWidth="1"/>
  </cols>
  <sheetData>
    <row r="1" spans="1:21" ht="1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</row>
    <row r="2" spans="1:21" x14ac:dyDescent="0.35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94"/>
      <c r="J2" s="394"/>
      <c r="K2" s="442" t="s">
        <v>7</v>
      </c>
      <c r="L2" s="442"/>
      <c r="M2" s="442"/>
      <c r="N2" s="337" t="s">
        <v>1</v>
      </c>
      <c r="O2" s="337"/>
      <c r="P2" s="337"/>
      <c r="Q2" s="337"/>
      <c r="R2" s="337"/>
      <c r="S2" s="337"/>
      <c r="T2" s="337" t="s">
        <v>8</v>
      </c>
      <c r="U2" s="443" t="s">
        <v>9</v>
      </c>
    </row>
    <row r="3" spans="1:21" s="167" customFormat="1" x14ac:dyDescent="0.3">
      <c r="A3" s="445" t="s">
        <v>10</v>
      </c>
      <c r="B3" s="445" t="s">
        <v>11</v>
      </c>
      <c r="C3" s="447" t="s">
        <v>12</v>
      </c>
      <c r="D3" s="445" t="s">
        <v>13</v>
      </c>
      <c r="E3" s="449" t="s">
        <v>14</v>
      </c>
      <c r="F3" s="447" t="s">
        <v>15</v>
      </c>
      <c r="G3" s="445" t="s">
        <v>16</v>
      </c>
      <c r="H3" s="458" t="s">
        <v>859</v>
      </c>
      <c r="I3" s="461" t="s">
        <v>19</v>
      </c>
      <c r="J3" s="461" t="s">
        <v>20</v>
      </c>
      <c r="K3" s="463" t="s">
        <v>21</v>
      </c>
      <c r="L3" s="465" t="s">
        <v>22</v>
      </c>
      <c r="M3" s="467" t="s">
        <v>23</v>
      </c>
      <c r="N3" s="467" t="s">
        <v>24</v>
      </c>
      <c r="O3" s="467"/>
      <c r="P3" s="453" t="s">
        <v>25</v>
      </c>
      <c r="Q3" s="453"/>
      <c r="R3" s="445" t="s">
        <v>26</v>
      </c>
      <c r="S3" s="453" t="s">
        <v>23</v>
      </c>
      <c r="T3" s="337"/>
      <c r="U3" s="443"/>
    </row>
    <row r="4" spans="1:21" s="167" customFormat="1" x14ac:dyDescent="0.3">
      <c r="A4" s="446"/>
      <c r="B4" s="446"/>
      <c r="C4" s="448"/>
      <c r="D4" s="446"/>
      <c r="E4" s="450"/>
      <c r="F4" s="448"/>
      <c r="G4" s="446"/>
      <c r="H4" s="459"/>
      <c r="I4" s="462"/>
      <c r="J4" s="462"/>
      <c r="K4" s="464"/>
      <c r="L4" s="466"/>
      <c r="M4" s="468"/>
      <c r="N4" s="209" t="s">
        <v>2</v>
      </c>
      <c r="O4" s="210" t="s">
        <v>30</v>
      </c>
      <c r="P4" s="211" t="s">
        <v>2</v>
      </c>
      <c r="Q4" s="212" t="s">
        <v>30</v>
      </c>
      <c r="R4" s="446"/>
      <c r="S4" s="460"/>
      <c r="T4" s="394"/>
      <c r="U4" s="444"/>
    </row>
    <row r="5" spans="1:21" s="119" customFormat="1" ht="58" hidden="1" x14ac:dyDescent="0.3">
      <c r="A5" s="154" t="s">
        <v>250</v>
      </c>
      <c r="B5" s="215" t="s">
        <v>901</v>
      </c>
      <c r="C5" s="164" t="s">
        <v>802</v>
      </c>
      <c r="D5" s="217">
        <v>404</v>
      </c>
      <c r="E5" s="175" t="s">
        <v>898</v>
      </c>
      <c r="F5" s="191" t="s">
        <v>871</v>
      </c>
      <c r="G5" s="76" t="s">
        <v>31</v>
      </c>
      <c r="H5" s="164" t="s">
        <v>860</v>
      </c>
      <c r="I5" s="195">
        <v>45510</v>
      </c>
      <c r="J5" s="195">
        <v>45511</v>
      </c>
      <c r="K5" s="196">
        <f>M5/2</f>
        <v>1250.6099999999999</v>
      </c>
      <c r="L5" s="196">
        <f>M5/2</f>
        <v>1250.6099999999999</v>
      </c>
      <c r="M5" s="196">
        <v>2501.2199999999998</v>
      </c>
      <c r="N5" s="169">
        <f>(J5-I5)+1</f>
        <v>2</v>
      </c>
      <c r="O5" s="197">
        <v>120</v>
      </c>
      <c r="P5" s="94">
        <v>0</v>
      </c>
      <c r="Q5" s="130">
        <v>0</v>
      </c>
      <c r="R5" s="70">
        <f t="shared" ref="R5:R46" si="0">N5*O5+P5*Q5</f>
        <v>240</v>
      </c>
      <c r="S5" s="70">
        <f t="shared" ref="S5:S47" si="1">M5+R5</f>
        <v>2741.22</v>
      </c>
      <c r="T5" s="70">
        <f t="shared" ref="T5:T27" si="2">S5</f>
        <v>2741.22</v>
      </c>
      <c r="U5" s="169"/>
    </row>
    <row r="6" spans="1:21" s="119" customFormat="1" ht="43.5" hidden="1" x14ac:dyDescent="0.3">
      <c r="A6" s="126" t="s">
        <v>229</v>
      </c>
      <c r="B6" s="126" t="s">
        <v>229</v>
      </c>
      <c r="C6" s="194" t="s">
        <v>757</v>
      </c>
      <c r="D6" s="222">
        <v>392</v>
      </c>
      <c r="E6" s="175" t="s">
        <v>798</v>
      </c>
      <c r="F6" s="191" t="s">
        <v>871</v>
      </c>
      <c r="G6" s="76" t="s">
        <v>31</v>
      </c>
      <c r="H6" s="164" t="s">
        <v>860</v>
      </c>
      <c r="I6" s="195">
        <v>45510</v>
      </c>
      <c r="J6" s="195">
        <v>45511</v>
      </c>
      <c r="K6" s="196">
        <f t="shared" ref="K6:K21" si="3">M6/2</f>
        <v>1341.84</v>
      </c>
      <c r="L6" s="196">
        <f t="shared" ref="L6:L21" si="4">M6/2</f>
        <v>1341.84</v>
      </c>
      <c r="M6" s="196">
        <v>2683.68</v>
      </c>
      <c r="N6" s="169">
        <f>(J6-I6)+1</f>
        <v>2</v>
      </c>
      <c r="O6" s="197">
        <v>120</v>
      </c>
      <c r="P6" s="94">
        <v>0</v>
      </c>
      <c r="Q6" s="130">
        <v>0</v>
      </c>
      <c r="R6" s="70">
        <f t="shared" si="0"/>
        <v>240</v>
      </c>
      <c r="S6" s="70">
        <f t="shared" si="1"/>
        <v>2923.68</v>
      </c>
      <c r="T6" s="70">
        <f t="shared" si="2"/>
        <v>2923.68</v>
      </c>
      <c r="U6" s="169"/>
    </row>
    <row r="7" spans="1:21" s="119" customFormat="1" ht="43.5" x14ac:dyDescent="0.3">
      <c r="A7" s="183" t="s">
        <v>229</v>
      </c>
      <c r="B7" s="183" t="s">
        <v>229</v>
      </c>
      <c r="C7" s="184" t="s">
        <v>858</v>
      </c>
      <c r="D7" s="185">
        <v>0</v>
      </c>
      <c r="E7" s="177" t="s">
        <v>90</v>
      </c>
      <c r="F7" s="192" t="s">
        <v>871</v>
      </c>
      <c r="G7" s="178" t="s">
        <v>31</v>
      </c>
      <c r="H7" s="184" t="s">
        <v>860</v>
      </c>
      <c r="I7" s="198">
        <v>45510</v>
      </c>
      <c r="J7" s="198">
        <v>45511</v>
      </c>
      <c r="K7" s="199">
        <f t="shared" si="3"/>
        <v>958.51499999999999</v>
      </c>
      <c r="L7" s="199">
        <f t="shared" si="4"/>
        <v>958.51499999999999</v>
      </c>
      <c r="M7" s="199">
        <v>1917.03</v>
      </c>
      <c r="N7" s="179">
        <v>0</v>
      </c>
      <c r="O7" s="199">
        <v>120</v>
      </c>
      <c r="P7" s="181">
        <v>0</v>
      </c>
      <c r="Q7" s="180">
        <v>0</v>
      </c>
      <c r="R7" s="186">
        <f t="shared" si="0"/>
        <v>0</v>
      </c>
      <c r="S7" s="186">
        <f t="shared" si="1"/>
        <v>1917.03</v>
      </c>
      <c r="T7" s="186">
        <f t="shared" si="2"/>
        <v>1917.03</v>
      </c>
      <c r="U7" s="179"/>
    </row>
    <row r="8" spans="1:21" s="119" customFormat="1" x14ac:dyDescent="0.3">
      <c r="A8" s="469" t="s">
        <v>279</v>
      </c>
      <c r="B8" s="471" t="s">
        <v>279</v>
      </c>
      <c r="C8" s="471" t="s">
        <v>819</v>
      </c>
      <c r="D8" s="472">
        <v>0</v>
      </c>
      <c r="E8" s="474" t="s">
        <v>897</v>
      </c>
      <c r="F8" s="229"/>
      <c r="G8" s="178" t="s">
        <v>31</v>
      </c>
      <c r="H8" s="224" t="s">
        <v>861</v>
      </c>
      <c r="I8" s="198">
        <v>45512</v>
      </c>
      <c r="J8" s="179"/>
      <c r="K8" s="199">
        <f t="shared" si="3"/>
        <v>895.21500000000003</v>
      </c>
      <c r="L8" s="199">
        <f t="shared" si="4"/>
        <v>895.21500000000003</v>
      </c>
      <c r="M8" s="199">
        <f>1734.21+56.22</f>
        <v>1790.43</v>
      </c>
      <c r="N8" s="451">
        <v>0</v>
      </c>
      <c r="O8" s="199">
        <v>120</v>
      </c>
      <c r="P8" s="181">
        <v>0</v>
      </c>
      <c r="Q8" s="225">
        <v>0</v>
      </c>
      <c r="R8" s="182">
        <f t="shared" si="0"/>
        <v>0</v>
      </c>
      <c r="S8" s="182">
        <f t="shared" si="1"/>
        <v>1790.43</v>
      </c>
      <c r="T8" s="182">
        <f t="shared" si="2"/>
        <v>1790.43</v>
      </c>
      <c r="U8" s="230"/>
    </row>
    <row r="9" spans="1:21" s="119" customFormat="1" x14ac:dyDescent="0.3">
      <c r="A9" s="470"/>
      <c r="B9" s="470"/>
      <c r="C9" s="470"/>
      <c r="D9" s="473"/>
      <c r="E9" s="474"/>
      <c r="F9" s="229"/>
      <c r="G9" s="178" t="s">
        <v>31</v>
      </c>
      <c r="H9" s="224" t="s">
        <v>862</v>
      </c>
      <c r="I9" s="198">
        <v>45513</v>
      </c>
      <c r="J9" s="179"/>
      <c r="K9" s="199">
        <f t="shared" si="3"/>
        <v>496.47</v>
      </c>
      <c r="L9" s="199">
        <f t="shared" si="4"/>
        <v>496.47</v>
      </c>
      <c r="M9" s="199">
        <f>938.74+54.2</f>
        <v>992.94</v>
      </c>
      <c r="N9" s="452"/>
      <c r="O9" s="199">
        <v>120</v>
      </c>
      <c r="P9" s="181">
        <v>0</v>
      </c>
      <c r="Q9" s="225">
        <v>0</v>
      </c>
      <c r="R9" s="182">
        <f t="shared" si="0"/>
        <v>0</v>
      </c>
      <c r="S9" s="182">
        <f t="shared" si="1"/>
        <v>992.94</v>
      </c>
      <c r="T9" s="182">
        <f t="shared" si="2"/>
        <v>992.94</v>
      </c>
      <c r="U9" s="230"/>
    </row>
    <row r="10" spans="1:21" x14ac:dyDescent="0.3">
      <c r="A10" s="475" t="s">
        <v>250</v>
      </c>
      <c r="B10" s="475" t="s">
        <v>250</v>
      </c>
      <c r="C10" s="471" t="s">
        <v>378</v>
      </c>
      <c r="D10" s="472">
        <v>0</v>
      </c>
      <c r="E10" s="477" t="s">
        <v>896</v>
      </c>
      <c r="F10" s="229"/>
      <c r="G10" s="178" t="s">
        <v>31</v>
      </c>
      <c r="H10" s="184" t="s">
        <v>863</v>
      </c>
      <c r="I10" s="198">
        <v>45513</v>
      </c>
      <c r="J10" s="179"/>
      <c r="K10" s="199">
        <f>1234+54.2</f>
        <v>1288.2</v>
      </c>
      <c r="L10" s="199">
        <v>0</v>
      </c>
      <c r="M10" s="199">
        <f>K10+L10</f>
        <v>1288.2</v>
      </c>
      <c r="N10" s="451">
        <v>0</v>
      </c>
      <c r="O10" s="199">
        <v>120</v>
      </c>
      <c r="P10" s="181">
        <v>0</v>
      </c>
      <c r="Q10" s="225">
        <v>0</v>
      </c>
      <c r="R10" s="182">
        <f t="shared" si="0"/>
        <v>0</v>
      </c>
      <c r="S10" s="182">
        <f t="shared" si="1"/>
        <v>1288.2</v>
      </c>
      <c r="T10" s="182">
        <f t="shared" si="2"/>
        <v>1288.2</v>
      </c>
      <c r="U10" s="230"/>
    </row>
    <row r="11" spans="1:21" x14ac:dyDescent="0.3">
      <c r="A11" s="476"/>
      <c r="B11" s="476"/>
      <c r="C11" s="470"/>
      <c r="D11" s="473"/>
      <c r="E11" s="478"/>
      <c r="F11" s="179"/>
      <c r="G11" s="178" t="s">
        <v>31</v>
      </c>
      <c r="H11" s="179" t="s">
        <v>864</v>
      </c>
      <c r="I11" s="198">
        <v>45515</v>
      </c>
      <c r="J11" s="179"/>
      <c r="K11" s="199">
        <f>532.21+400</f>
        <v>932.21</v>
      </c>
      <c r="L11" s="199">
        <v>0</v>
      </c>
      <c r="M11" s="199">
        <f>K11+L11</f>
        <v>932.21</v>
      </c>
      <c r="N11" s="452"/>
      <c r="O11" s="199">
        <v>120</v>
      </c>
      <c r="P11" s="181">
        <v>0</v>
      </c>
      <c r="Q11" s="225">
        <v>0</v>
      </c>
      <c r="R11" s="182">
        <f t="shared" si="0"/>
        <v>0</v>
      </c>
      <c r="S11" s="182">
        <f t="shared" si="1"/>
        <v>932.21</v>
      </c>
      <c r="T11" s="182">
        <f t="shared" si="2"/>
        <v>932.21</v>
      </c>
      <c r="U11" s="179"/>
    </row>
    <row r="12" spans="1:21" hidden="1" x14ac:dyDescent="0.3">
      <c r="A12" s="126" t="s">
        <v>279</v>
      </c>
      <c r="B12" s="126" t="s">
        <v>903</v>
      </c>
      <c r="C12" s="250" t="s">
        <v>930</v>
      </c>
      <c r="D12" s="247"/>
      <c r="E12" s="216" t="s">
        <v>931</v>
      </c>
      <c r="F12" s="169" t="s">
        <v>881</v>
      </c>
      <c r="G12" s="214" t="s">
        <v>31</v>
      </c>
      <c r="H12" s="174" t="s">
        <v>865</v>
      </c>
      <c r="I12" s="243">
        <v>45512</v>
      </c>
      <c r="J12" s="195">
        <v>45513</v>
      </c>
      <c r="K12" s="205">
        <f>1128.44+56.22</f>
        <v>1184.6600000000001</v>
      </c>
      <c r="L12" s="205">
        <f>515.43+32.1</f>
        <v>547.53</v>
      </c>
      <c r="M12" s="205">
        <f>K12+L12</f>
        <v>1732.19</v>
      </c>
      <c r="N12" s="169">
        <f>(J12-I12)+1</f>
        <v>2</v>
      </c>
      <c r="O12" s="205">
        <v>120</v>
      </c>
      <c r="P12" s="162">
        <v>0</v>
      </c>
      <c r="Q12" s="248">
        <v>0</v>
      </c>
      <c r="R12" s="249">
        <f t="shared" si="0"/>
        <v>240</v>
      </c>
      <c r="S12" s="249">
        <f t="shared" si="1"/>
        <v>1972.19</v>
      </c>
      <c r="T12" s="249">
        <f t="shared" si="2"/>
        <v>1972.19</v>
      </c>
      <c r="U12" s="169"/>
    </row>
    <row r="13" spans="1:21" ht="29" hidden="1" x14ac:dyDescent="0.3">
      <c r="A13" s="126" t="s">
        <v>279</v>
      </c>
      <c r="B13" s="126" t="s">
        <v>903</v>
      </c>
      <c r="C13" s="215" t="s">
        <v>929</v>
      </c>
      <c r="D13" s="247"/>
      <c r="E13" s="216" t="s">
        <v>664</v>
      </c>
      <c r="F13" s="169" t="s">
        <v>881</v>
      </c>
      <c r="G13" s="214" t="s">
        <v>31</v>
      </c>
      <c r="H13" s="174" t="s">
        <v>865</v>
      </c>
      <c r="I13" s="243">
        <v>45512</v>
      </c>
      <c r="J13" s="195">
        <v>45514</v>
      </c>
      <c r="K13" s="205">
        <f>M13/2</f>
        <v>639.48500000000001</v>
      </c>
      <c r="L13" s="205">
        <f>N13/2</f>
        <v>1</v>
      </c>
      <c r="M13" s="205">
        <f>1190.65+88.32</f>
        <v>1278.97</v>
      </c>
      <c r="N13" s="169">
        <v>2</v>
      </c>
      <c r="O13" s="205">
        <v>120</v>
      </c>
      <c r="P13" s="162">
        <v>0</v>
      </c>
      <c r="Q13" s="248">
        <v>0</v>
      </c>
      <c r="R13" s="249">
        <f t="shared" si="0"/>
        <v>240</v>
      </c>
      <c r="S13" s="249">
        <f t="shared" si="1"/>
        <v>1518.97</v>
      </c>
      <c r="T13" s="249">
        <f t="shared" si="2"/>
        <v>1518.97</v>
      </c>
      <c r="U13" s="220" t="s">
        <v>928</v>
      </c>
    </row>
    <row r="14" spans="1:21" ht="43.5" hidden="1" x14ac:dyDescent="0.3">
      <c r="A14" s="163" t="s">
        <v>250</v>
      </c>
      <c r="B14" s="242" t="s">
        <v>902</v>
      </c>
      <c r="C14" s="172" t="s">
        <v>878</v>
      </c>
      <c r="D14" s="161"/>
      <c r="E14" s="219" t="s">
        <v>899</v>
      </c>
      <c r="F14" s="169" t="s">
        <v>881</v>
      </c>
      <c r="G14" s="214" t="s">
        <v>31</v>
      </c>
      <c r="H14" s="174" t="s">
        <v>865</v>
      </c>
      <c r="I14" s="243">
        <v>45512</v>
      </c>
      <c r="J14" s="243">
        <v>45515</v>
      </c>
      <c r="K14" s="244">
        <f t="shared" si="3"/>
        <v>921.56</v>
      </c>
      <c r="L14" s="244">
        <f t="shared" si="4"/>
        <v>921.56</v>
      </c>
      <c r="M14" s="245">
        <v>1843.12</v>
      </c>
      <c r="N14" s="241">
        <v>2</v>
      </c>
      <c r="O14" s="256">
        <v>120</v>
      </c>
      <c r="P14" s="162">
        <v>0</v>
      </c>
      <c r="Q14" s="248">
        <v>0</v>
      </c>
      <c r="R14" s="249">
        <f t="shared" si="0"/>
        <v>240</v>
      </c>
      <c r="S14" s="249">
        <f t="shared" si="1"/>
        <v>2083.12</v>
      </c>
      <c r="T14" s="249">
        <f t="shared" si="2"/>
        <v>2083.12</v>
      </c>
      <c r="U14" s="220" t="s">
        <v>928</v>
      </c>
    </row>
    <row r="15" spans="1:21" ht="29" x14ac:dyDescent="0.3">
      <c r="A15" s="183" t="s">
        <v>229</v>
      </c>
      <c r="B15" s="183" t="s">
        <v>229</v>
      </c>
      <c r="C15" s="179" t="s">
        <v>858</v>
      </c>
      <c r="D15" s="181">
        <v>0</v>
      </c>
      <c r="E15" s="177" t="s">
        <v>90</v>
      </c>
      <c r="F15" s="179" t="s">
        <v>876</v>
      </c>
      <c r="G15" s="178" t="s">
        <v>31</v>
      </c>
      <c r="H15" s="179" t="s">
        <v>865</v>
      </c>
      <c r="I15" s="198">
        <v>45519</v>
      </c>
      <c r="J15" s="198">
        <v>45522</v>
      </c>
      <c r="K15" s="199">
        <f t="shared" si="3"/>
        <v>947.49</v>
      </c>
      <c r="L15" s="199">
        <f t="shared" si="4"/>
        <v>947.49</v>
      </c>
      <c r="M15" s="203">
        <v>1894.98</v>
      </c>
      <c r="N15" s="179">
        <v>0</v>
      </c>
      <c r="O15" s="199">
        <v>120</v>
      </c>
      <c r="P15" s="181">
        <v>0</v>
      </c>
      <c r="Q15" s="225">
        <v>0</v>
      </c>
      <c r="R15" s="182">
        <f t="shared" si="0"/>
        <v>0</v>
      </c>
      <c r="S15" s="182">
        <f t="shared" si="1"/>
        <v>1894.98</v>
      </c>
      <c r="T15" s="182">
        <f t="shared" si="2"/>
        <v>1894.98</v>
      </c>
      <c r="U15" s="456" t="s">
        <v>942</v>
      </c>
    </row>
    <row r="16" spans="1:21" ht="29" x14ac:dyDescent="0.3">
      <c r="A16" s="183" t="s">
        <v>229</v>
      </c>
      <c r="B16" s="183" t="s">
        <v>229</v>
      </c>
      <c r="C16" s="179" t="s">
        <v>858</v>
      </c>
      <c r="D16" s="181">
        <v>0</v>
      </c>
      <c r="E16" s="177" t="s">
        <v>90</v>
      </c>
      <c r="F16" s="179" t="s">
        <v>876</v>
      </c>
      <c r="G16" s="178" t="s">
        <v>31</v>
      </c>
      <c r="H16" s="179" t="s">
        <v>865</v>
      </c>
      <c r="I16" s="198" t="s">
        <v>941</v>
      </c>
      <c r="J16" s="198">
        <v>45521</v>
      </c>
      <c r="K16" s="199">
        <f>M16/2</f>
        <v>475.5</v>
      </c>
      <c r="L16" s="199">
        <f>M16/2</f>
        <v>475.5</v>
      </c>
      <c r="M16" s="203">
        <f>551+400</f>
        <v>951</v>
      </c>
      <c r="N16" s="179">
        <v>0</v>
      </c>
      <c r="O16" s="199">
        <v>120</v>
      </c>
      <c r="P16" s="181">
        <v>0</v>
      </c>
      <c r="Q16" s="225">
        <v>0</v>
      </c>
      <c r="R16" s="182">
        <f t="shared" si="0"/>
        <v>0</v>
      </c>
      <c r="S16" s="182">
        <f>R16+M16</f>
        <v>951</v>
      </c>
      <c r="T16" s="182">
        <f t="shared" ref="T16" si="5">S16</f>
        <v>951</v>
      </c>
      <c r="U16" s="457"/>
    </row>
    <row r="17" spans="1:21" x14ac:dyDescent="0.3">
      <c r="A17" s="183" t="s">
        <v>250</v>
      </c>
      <c r="B17" s="183" t="s">
        <v>250</v>
      </c>
      <c r="C17" s="224" t="s">
        <v>378</v>
      </c>
      <c r="D17" s="181">
        <v>0</v>
      </c>
      <c r="E17" s="177" t="s">
        <v>896</v>
      </c>
      <c r="F17" s="179" t="s">
        <v>882</v>
      </c>
      <c r="G17" s="178" t="s">
        <v>31</v>
      </c>
      <c r="H17" s="179" t="s">
        <v>866</v>
      </c>
      <c r="I17" s="198">
        <v>45525</v>
      </c>
      <c r="J17" s="198">
        <v>45527</v>
      </c>
      <c r="K17" s="199">
        <f t="shared" si="3"/>
        <v>1512.37</v>
      </c>
      <c r="L17" s="199">
        <f t="shared" si="4"/>
        <v>1512.37</v>
      </c>
      <c r="M17" s="203">
        <v>3024.74</v>
      </c>
      <c r="N17" s="179">
        <v>0</v>
      </c>
      <c r="O17" s="199">
        <v>120</v>
      </c>
      <c r="P17" s="181">
        <v>0</v>
      </c>
      <c r="Q17" s="225">
        <v>0</v>
      </c>
      <c r="R17" s="182">
        <f t="shared" si="0"/>
        <v>0</v>
      </c>
      <c r="S17" s="182">
        <f t="shared" si="1"/>
        <v>3024.74</v>
      </c>
      <c r="T17" s="182">
        <f t="shared" si="2"/>
        <v>3024.74</v>
      </c>
      <c r="U17" s="179" t="s">
        <v>892</v>
      </c>
    </row>
    <row r="18" spans="1:21" ht="29" hidden="1" x14ac:dyDescent="0.3">
      <c r="A18" s="126" t="s">
        <v>250</v>
      </c>
      <c r="B18" s="126" t="s">
        <v>250</v>
      </c>
      <c r="C18" s="169" t="s">
        <v>670</v>
      </c>
      <c r="D18" s="94">
        <v>383</v>
      </c>
      <c r="E18" s="175" t="s">
        <v>900</v>
      </c>
      <c r="F18" s="169" t="s">
        <v>882</v>
      </c>
      <c r="G18" s="76" t="s">
        <v>31</v>
      </c>
      <c r="H18" s="169" t="s">
        <v>866</v>
      </c>
      <c r="I18" s="195">
        <v>45525</v>
      </c>
      <c r="J18" s="195">
        <v>45527</v>
      </c>
      <c r="K18" s="196">
        <f t="shared" si="3"/>
        <v>1512.37</v>
      </c>
      <c r="L18" s="196">
        <f t="shared" si="4"/>
        <v>1512.37</v>
      </c>
      <c r="M18" s="201">
        <v>3024.74</v>
      </c>
      <c r="N18" s="173">
        <v>3</v>
      </c>
      <c r="O18" s="196">
        <v>120</v>
      </c>
      <c r="P18" s="94">
        <v>0</v>
      </c>
      <c r="Q18" s="225">
        <v>0</v>
      </c>
      <c r="R18" s="182">
        <f t="shared" si="0"/>
        <v>360</v>
      </c>
      <c r="S18" s="171">
        <f t="shared" si="1"/>
        <v>3384.74</v>
      </c>
      <c r="T18" s="171">
        <f t="shared" si="2"/>
        <v>3384.74</v>
      </c>
      <c r="U18" s="169"/>
    </row>
    <row r="19" spans="1:21" ht="58" hidden="1" x14ac:dyDescent="0.3">
      <c r="A19" s="164" t="s">
        <v>279</v>
      </c>
      <c r="B19" s="215" t="s">
        <v>903</v>
      </c>
      <c r="C19" s="173" t="s">
        <v>447</v>
      </c>
      <c r="D19" s="160">
        <v>336</v>
      </c>
      <c r="E19" s="218" t="s">
        <v>309</v>
      </c>
      <c r="F19" s="173" t="s">
        <v>882</v>
      </c>
      <c r="G19" s="76" t="s">
        <v>31</v>
      </c>
      <c r="H19" s="194" t="s">
        <v>866</v>
      </c>
      <c r="I19" s="195">
        <v>45525</v>
      </c>
      <c r="J19" s="195">
        <v>45527</v>
      </c>
      <c r="K19" s="196">
        <f t="shared" si="3"/>
        <v>1293.59985024</v>
      </c>
      <c r="L19" s="196">
        <f t="shared" si="4"/>
        <v>1293.59985024</v>
      </c>
      <c r="M19" s="201">
        <v>2587.19970048</v>
      </c>
      <c r="N19" s="173">
        <v>3</v>
      </c>
      <c r="O19" s="255">
        <v>120</v>
      </c>
      <c r="P19" s="94">
        <v>0</v>
      </c>
      <c r="Q19" s="225">
        <v>0</v>
      </c>
      <c r="R19" s="182">
        <f t="shared" si="0"/>
        <v>360</v>
      </c>
      <c r="S19" s="171">
        <f t="shared" si="1"/>
        <v>2947.19970048</v>
      </c>
      <c r="T19" s="171">
        <f t="shared" si="2"/>
        <v>2947.19970048</v>
      </c>
      <c r="U19" s="169"/>
    </row>
    <row r="20" spans="1:21" ht="43.5" hidden="1" x14ac:dyDescent="0.3">
      <c r="A20" s="126" t="s">
        <v>250</v>
      </c>
      <c r="B20" s="126" t="s">
        <v>250</v>
      </c>
      <c r="C20" s="169" t="s">
        <v>92</v>
      </c>
      <c r="D20" s="94"/>
      <c r="E20" s="175" t="s">
        <v>536</v>
      </c>
      <c r="F20" s="175" t="s">
        <v>883</v>
      </c>
      <c r="G20" s="76" t="s">
        <v>31</v>
      </c>
      <c r="H20" s="169" t="s">
        <v>867</v>
      </c>
      <c r="I20" s="195">
        <v>45525</v>
      </c>
      <c r="J20" s="195">
        <v>45527</v>
      </c>
      <c r="K20" s="196">
        <f t="shared" si="3"/>
        <v>698.99</v>
      </c>
      <c r="L20" s="196">
        <f t="shared" si="4"/>
        <v>698.99</v>
      </c>
      <c r="M20" s="201">
        <v>1397.98</v>
      </c>
      <c r="N20" s="169">
        <f t="shared" ref="N20:N21" si="6">(J20-I20)+1</f>
        <v>3</v>
      </c>
      <c r="O20" s="196">
        <v>120</v>
      </c>
      <c r="P20" s="94">
        <v>0</v>
      </c>
      <c r="Q20" s="225">
        <v>0</v>
      </c>
      <c r="R20" s="182">
        <f t="shared" si="0"/>
        <v>360</v>
      </c>
      <c r="S20" s="171">
        <f t="shared" si="1"/>
        <v>1757.98</v>
      </c>
      <c r="T20" s="171">
        <f t="shared" si="2"/>
        <v>1757.98</v>
      </c>
      <c r="U20" s="169"/>
    </row>
    <row r="21" spans="1:21" ht="58" hidden="1" x14ac:dyDescent="0.3">
      <c r="A21" s="126" t="s">
        <v>250</v>
      </c>
      <c r="B21" s="215" t="s">
        <v>922</v>
      </c>
      <c r="C21" s="169" t="s">
        <v>323</v>
      </c>
      <c r="D21" s="94">
        <v>87</v>
      </c>
      <c r="E21" s="175" t="s">
        <v>906</v>
      </c>
      <c r="F21" s="169" t="s">
        <v>882</v>
      </c>
      <c r="G21" s="76" t="s">
        <v>31</v>
      </c>
      <c r="H21" s="169" t="s">
        <v>866</v>
      </c>
      <c r="I21" s="195">
        <v>45525</v>
      </c>
      <c r="J21" s="195">
        <v>45527</v>
      </c>
      <c r="K21" s="196">
        <f t="shared" si="3"/>
        <v>1512.37</v>
      </c>
      <c r="L21" s="196">
        <f t="shared" si="4"/>
        <v>1512.37</v>
      </c>
      <c r="M21" s="201">
        <v>3024.74</v>
      </c>
      <c r="N21" s="169">
        <f t="shared" si="6"/>
        <v>3</v>
      </c>
      <c r="O21" s="196">
        <v>120</v>
      </c>
      <c r="P21" s="94">
        <v>0</v>
      </c>
      <c r="Q21" s="225">
        <v>0</v>
      </c>
      <c r="R21" s="182">
        <f t="shared" si="0"/>
        <v>360</v>
      </c>
      <c r="S21" s="171">
        <f t="shared" si="1"/>
        <v>3384.74</v>
      </c>
      <c r="T21" s="171">
        <f t="shared" si="2"/>
        <v>3384.74</v>
      </c>
      <c r="U21" s="169"/>
    </row>
    <row r="22" spans="1:21" ht="29" x14ac:dyDescent="0.3">
      <c r="A22" s="475" t="s">
        <v>229</v>
      </c>
      <c r="B22" s="475" t="s">
        <v>229</v>
      </c>
      <c r="C22" s="451" t="s">
        <v>858</v>
      </c>
      <c r="D22" s="456">
        <v>0</v>
      </c>
      <c r="E22" s="477" t="s">
        <v>90</v>
      </c>
      <c r="F22" s="177" t="s">
        <v>874</v>
      </c>
      <c r="G22" s="178" t="s">
        <v>31</v>
      </c>
      <c r="H22" s="224" t="s">
        <v>879</v>
      </c>
      <c r="I22" s="237">
        <v>45523</v>
      </c>
      <c r="J22" s="237"/>
      <c r="K22" s="238">
        <f>M22</f>
        <v>764.6</v>
      </c>
      <c r="L22" s="238" t="s">
        <v>74</v>
      </c>
      <c r="M22" s="257">
        <f>708.38+56.22</f>
        <v>764.6</v>
      </c>
      <c r="N22" s="176">
        <v>0</v>
      </c>
      <c r="O22" s="199"/>
      <c r="P22" s="181">
        <v>0</v>
      </c>
      <c r="Q22" s="225">
        <v>0</v>
      </c>
      <c r="R22" s="182">
        <f t="shared" si="0"/>
        <v>0</v>
      </c>
      <c r="S22" s="182"/>
      <c r="T22" s="182"/>
      <c r="U22" s="179"/>
    </row>
    <row r="23" spans="1:21" x14ac:dyDescent="0.3">
      <c r="A23" s="482"/>
      <c r="B23" s="482"/>
      <c r="C23" s="483"/>
      <c r="D23" s="484"/>
      <c r="E23" s="485"/>
      <c r="F23" s="451" t="s">
        <v>875</v>
      </c>
      <c r="G23" s="178" t="s">
        <v>31</v>
      </c>
      <c r="H23" s="224" t="s">
        <v>868</v>
      </c>
      <c r="I23" s="237">
        <v>45525</v>
      </c>
      <c r="J23" s="224"/>
      <c r="K23" s="238">
        <f>M23</f>
        <v>616.29</v>
      </c>
      <c r="L23" s="238" t="s">
        <v>74</v>
      </c>
      <c r="M23" s="258">
        <f>571.3+44.99</f>
        <v>616.29</v>
      </c>
      <c r="N23" s="179">
        <v>0</v>
      </c>
      <c r="O23" s="199">
        <v>120</v>
      </c>
      <c r="P23" s="181">
        <v>0</v>
      </c>
      <c r="Q23" s="225">
        <v>0</v>
      </c>
      <c r="R23" s="182">
        <f t="shared" si="0"/>
        <v>0</v>
      </c>
      <c r="S23" s="182">
        <f t="shared" si="1"/>
        <v>616.29</v>
      </c>
      <c r="T23" s="182">
        <f t="shared" si="2"/>
        <v>616.29</v>
      </c>
      <c r="U23" s="179"/>
    </row>
    <row r="24" spans="1:21" ht="29" x14ac:dyDescent="0.3">
      <c r="A24" s="482"/>
      <c r="B24" s="482"/>
      <c r="C24" s="483"/>
      <c r="D24" s="484"/>
      <c r="E24" s="485"/>
      <c r="F24" s="483"/>
      <c r="G24" s="189" t="s">
        <v>31</v>
      </c>
      <c r="H24" s="259" t="s">
        <v>863</v>
      </c>
      <c r="I24" s="260"/>
      <c r="J24" s="260">
        <v>45526</v>
      </c>
      <c r="K24" s="239"/>
      <c r="L24" s="239">
        <f>M24</f>
        <v>709.91</v>
      </c>
      <c r="M24" s="261">
        <v>709.91</v>
      </c>
      <c r="N24" s="179">
        <v>0</v>
      </c>
      <c r="O24" s="204">
        <v>120</v>
      </c>
      <c r="P24" s="181">
        <v>0</v>
      </c>
      <c r="Q24" s="225">
        <v>0</v>
      </c>
      <c r="R24" s="182">
        <f t="shared" si="0"/>
        <v>0</v>
      </c>
      <c r="S24" s="190">
        <f t="shared" si="1"/>
        <v>709.91</v>
      </c>
      <c r="T24" s="190">
        <f t="shared" si="2"/>
        <v>709.91</v>
      </c>
      <c r="U24" s="231" t="s">
        <v>935</v>
      </c>
    </row>
    <row r="25" spans="1:21" ht="29" x14ac:dyDescent="0.3">
      <c r="A25" s="476"/>
      <c r="B25" s="476"/>
      <c r="C25" s="452"/>
      <c r="D25" s="457"/>
      <c r="E25" s="478"/>
      <c r="F25" s="452"/>
      <c r="G25" s="189" t="s">
        <v>31</v>
      </c>
      <c r="H25" s="259" t="s">
        <v>863</v>
      </c>
      <c r="I25" s="260"/>
      <c r="J25" s="260">
        <v>45526</v>
      </c>
      <c r="K25" s="239"/>
      <c r="L25" s="239">
        <v>1170.17</v>
      </c>
      <c r="M25" s="261">
        <f>L25</f>
        <v>1170.17</v>
      </c>
      <c r="N25" s="179">
        <v>0</v>
      </c>
      <c r="O25" s="204">
        <v>120</v>
      </c>
      <c r="P25" s="181"/>
      <c r="Q25" s="225">
        <v>0</v>
      </c>
      <c r="R25" s="182">
        <f t="shared" si="0"/>
        <v>0</v>
      </c>
      <c r="S25" s="190">
        <f t="shared" si="1"/>
        <v>1170.17</v>
      </c>
      <c r="T25" s="190">
        <f t="shared" si="2"/>
        <v>1170.17</v>
      </c>
      <c r="U25" s="231" t="s">
        <v>936</v>
      </c>
    </row>
    <row r="26" spans="1:21" s="167" customFormat="1" ht="30" hidden="1" customHeight="1" x14ac:dyDescent="0.3">
      <c r="A26" s="126" t="s">
        <v>229</v>
      </c>
      <c r="B26" s="215" t="s">
        <v>904</v>
      </c>
      <c r="C26" s="169" t="s">
        <v>872</v>
      </c>
      <c r="D26" s="94">
        <v>390</v>
      </c>
      <c r="E26" s="216" t="s">
        <v>905</v>
      </c>
      <c r="F26" s="175" t="s">
        <v>874</v>
      </c>
      <c r="G26" s="76" t="s">
        <v>31</v>
      </c>
      <c r="H26" s="169" t="s">
        <v>880</v>
      </c>
      <c r="I26" s="195">
        <v>45523</v>
      </c>
      <c r="J26" s="195">
        <v>45525</v>
      </c>
      <c r="K26" s="205">
        <f>708.38+56.22</f>
        <v>764.6</v>
      </c>
      <c r="L26" s="205">
        <f>1086.88+44.99</f>
        <v>1131.8700000000001</v>
      </c>
      <c r="M26" s="205">
        <f>K26+L26</f>
        <v>1896.4700000000003</v>
      </c>
      <c r="N26" s="169">
        <f>(J26-I26)+1</f>
        <v>3</v>
      </c>
      <c r="O26" s="205">
        <v>120</v>
      </c>
      <c r="P26" s="94">
        <v>0</v>
      </c>
      <c r="Q26" s="225">
        <v>0</v>
      </c>
      <c r="R26" s="182">
        <f t="shared" si="0"/>
        <v>360</v>
      </c>
      <c r="S26" s="190">
        <f t="shared" si="1"/>
        <v>2256.4700000000003</v>
      </c>
      <c r="T26" s="190">
        <f t="shared" si="2"/>
        <v>2256.4700000000003</v>
      </c>
      <c r="U26" s="169"/>
    </row>
    <row r="27" spans="1:21" s="167" customFormat="1" ht="30" customHeight="1" x14ac:dyDescent="0.3">
      <c r="A27" s="183" t="s">
        <v>229</v>
      </c>
      <c r="B27" s="183" t="s">
        <v>229</v>
      </c>
      <c r="C27" s="179" t="s">
        <v>858</v>
      </c>
      <c r="D27" s="181">
        <v>0</v>
      </c>
      <c r="E27" s="223" t="s">
        <v>90</v>
      </c>
      <c r="F27" s="224" t="s">
        <v>877</v>
      </c>
      <c r="G27" s="178" t="s">
        <v>31</v>
      </c>
      <c r="H27" s="179" t="s">
        <v>860</v>
      </c>
      <c r="I27" s="198">
        <v>45531</v>
      </c>
      <c r="J27" s="198">
        <v>45533</v>
      </c>
      <c r="K27" s="203">
        <f>M27/2</f>
        <v>557.99</v>
      </c>
      <c r="L27" s="203">
        <f>M27/2</f>
        <v>557.99</v>
      </c>
      <c r="M27" s="203">
        <v>1115.98</v>
      </c>
      <c r="N27" s="179">
        <v>0</v>
      </c>
      <c r="O27" s="203">
        <v>120</v>
      </c>
      <c r="P27" s="179">
        <v>0</v>
      </c>
      <c r="Q27" s="225">
        <v>0</v>
      </c>
      <c r="R27" s="182">
        <f t="shared" si="0"/>
        <v>0</v>
      </c>
      <c r="S27" s="190">
        <f t="shared" si="1"/>
        <v>1115.98</v>
      </c>
      <c r="T27" s="190">
        <f t="shared" si="2"/>
        <v>1115.98</v>
      </c>
      <c r="U27" s="179"/>
    </row>
    <row r="28" spans="1:21" ht="29" x14ac:dyDescent="0.3">
      <c r="A28" s="183" t="s">
        <v>229</v>
      </c>
      <c r="B28" s="183" t="s">
        <v>229</v>
      </c>
      <c r="C28" s="179" t="s">
        <v>858</v>
      </c>
      <c r="D28" s="181">
        <v>0</v>
      </c>
      <c r="E28" s="223" t="s">
        <v>90</v>
      </c>
      <c r="F28" s="224" t="s">
        <v>877</v>
      </c>
      <c r="G28" s="178" t="s">
        <v>31</v>
      </c>
      <c r="H28" s="179" t="s">
        <v>860</v>
      </c>
      <c r="I28" s="198">
        <v>45531</v>
      </c>
      <c r="J28" s="198">
        <v>45533</v>
      </c>
      <c r="K28" s="199">
        <f t="shared" ref="K28" si="7">M28/2</f>
        <v>374.95499999999998</v>
      </c>
      <c r="L28" s="199">
        <f>M28/2</f>
        <v>374.95499999999998</v>
      </c>
      <c r="M28" s="203">
        <v>749.91</v>
      </c>
      <c r="N28" s="179">
        <v>0</v>
      </c>
      <c r="O28" s="199">
        <v>120</v>
      </c>
      <c r="P28" s="181">
        <v>0</v>
      </c>
      <c r="Q28" s="225">
        <v>0</v>
      </c>
      <c r="R28" s="182">
        <f t="shared" si="0"/>
        <v>0</v>
      </c>
      <c r="S28" s="190">
        <f t="shared" si="1"/>
        <v>749.91</v>
      </c>
      <c r="T28" s="182">
        <f>S28</f>
        <v>749.91</v>
      </c>
      <c r="U28" s="254" t="s">
        <v>937</v>
      </c>
    </row>
    <row r="29" spans="1:21" s="167" customFormat="1" ht="30" hidden="1" customHeight="1" x14ac:dyDescent="0.3">
      <c r="A29" s="126" t="s">
        <v>250</v>
      </c>
      <c r="B29" s="126" t="s">
        <v>250</v>
      </c>
      <c r="C29" s="169" t="s">
        <v>873</v>
      </c>
      <c r="D29" s="94">
        <v>383</v>
      </c>
      <c r="E29" s="216" t="s">
        <v>900</v>
      </c>
      <c r="F29" s="175" t="s">
        <v>884</v>
      </c>
      <c r="G29" s="76" t="s">
        <v>31</v>
      </c>
      <c r="H29" s="169" t="s">
        <v>865</v>
      </c>
      <c r="I29" s="195">
        <v>45529</v>
      </c>
      <c r="J29" s="195">
        <v>45532</v>
      </c>
      <c r="K29" s="205">
        <f>1877.9+56.22</f>
        <v>1934.1200000000001</v>
      </c>
      <c r="L29" s="205">
        <f>786.8+32.1</f>
        <v>818.9</v>
      </c>
      <c r="M29" s="205">
        <f>K29+L29</f>
        <v>2753.02</v>
      </c>
      <c r="N29" s="169">
        <f>(J29-I29)+1</f>
        <v>4</v>
      </c>
      <c r="O29" s="196">
        <v>120</v>
      </c>
      <c r="P29" s="94">
        <v>0</v>
      </c>
      <c r="Q29" s="225">
        <v>0</v>
      </c>
      <c r="R29" s="182">
        <f t="shared" si="0"/>
        <v>480</v>
      </c>
      <c r="S29" s="190">
        <f t="shared" si="1"/>
        <v>3233.02</v>
      </c>
      <c r="T29" s="188"/>
      <c r="U29" s="213" t="s">
        <v>895</v>
      </c>
    </row>
    <row r="30" spans="1:21" hidden="1" x14ac:dyDescent="0.35">
      <c r="A30" s="479" t="s">
        <v>279</v>
      </c>
      <c r="B30" s="479" t="s">
        <v>903</v>
      </c>
      <c r="C30" s="479" t="s">
        <v>135</v>
      </c>
      <c r="D30" s="397">
        <v>230</v>
      </c>
      <c r="E30" s="486" t="s">
        <v>411</v>
      </c>
      <c r="F30" s="479" t="s">
        <v>884</v>
      </c>
      <c r="G30" s="76" t="s">
        <v>31</v>
      </c>
      <c r="H30" s="169" t="s">
        <v>885</v>
      </c>
      <c r="I30" s="195">
        <v>45529</v>
      </c>
      <c r="J30" s="207">
        <v>45532</v>
      </c>
      <c r="K30" s="201">
        <f>455.71+54.2</f>
        <v>509.90999999999997</v>
      </c>
      <c r="L30" s="201">
        <f>597.57+32.1</f>
        <v>629.67000000000007</v>
      </c>
      <c r="M30" s="201">
        <f>K30+L30</f>
        <v>1139.58</v>
      </c>
      <c r="N30" s="169">
        <f>(J30-I30)+1</f>
        <v>4</v>
      </c>
      <c r="O30" s="196">
        <v>120</v>
      </c>
      <c r="P30" s="94">
        <v>0</v>
      </c>
      <c r="Q30" s="225">
        <v>0</v>
      </c>
      <c r="R30" s="182">
        <f t="shared" si="0"/>
        <v>480</v>
      </c>
      <c r="S30" s="190">
        <f t="shared" si="1"/>
        <v>1619.58</v>
      </c>
      <c r="T30" s="171">
        <f t="shared" ref="T30:T49" si="8">S30</f>
        <v>1619.58</v>
      </c>
      <c r="U30" s="168" t="s">
        <v>891</v>
      </c>
    </row>
    <row r="31" spans="1:21" hidden="1" x14ac:dyDescent="0.35">
      <c r="A31" s="480"/>
      <c r="B31" s="480"/>
      <c r="C31" s="480"/>
      <c r="D31" s="435"/>
      <c r="E31" s="487"/>
      <c r="F31" s="480"/>
      <c r="G31" s="76" t="s">
        <v>31</v>
      </c>
      <c r="H31" s="169" t="s">
        <v>870</v>
      </c>
      <c r="I31" s="195">
        <v>45532</v>
      </c>
      <c r="J31" s="195">
        <v>45532</v>
      </c>
      <c r="K31" s="201">
        <f>571.16+400</f>
        <v>971.16</v>
      </c>
      <c r="L31" s="201">
        <v>0</v>
      </c>
      <c r="M31" s="201">
        <f t="shared" ref="M31:M38" si="9">K31+L31</f>
        <v>971.16</v>
      </c>
      <c r="N31" s="169" t="s">
        <v>74</v>
      </c>
      <c r="O31" s="196">
        <v>120</v>
      </c>
      <c r="P31" s="94">
        <v>0</v>
      </c>
      <c r="Q31" s="225">
        <v>0</v>
      </c>
      <c r="R31" s="182" t="e">
        <f t="shared" si="0"/>
        <v>#VALUE!</v>
      </c>
      <c r="S31" s="190" t="e">
        <f t="shared" si="1"/>
        <v>#VALUE!</v>
      </c>
      <c r="T31" s="171" t="s">
        <v>74</v>
      </c>
      <c r="U31" s="168" t="s">
        <v>886</v>
      </c>
    </row>
    <row r="32" spans="1:21" hidden="1" x14ac:dyDescent="0.35">
      <c r="A32" s="481"/>
      <c r="B32" s="481"/>
      <c r="C32" s="481"/>
      <c r="D32" s="398"/>
      <c r="E32" s="488"/>
      <c r="F32" s="481"/>
      <c r="G32" s="76" t="s">
        <v>31</v>
      </c>
      <c r="H32" s="169" t="s">
        <v>864</v>
      </c>
      <c r="I32" s="195">
        <v>45532</v>
      </c>
      <c r="J32" s="195">
        <v>45532</v>
      </c>
      <c r="K32" s="201">
        <f>1338.83+32.1</f>
        <v>1370.9299999999998</v>
      </c>
      <c r="L32" s="201">
        <v>0</v>
      </c>
      <c r="M32" s="201">
        <f t="shared" si="9"/>
        <v>1370.9299999999998</v>
      </c>
      <c r="N32" s="169" t="s">
        <v>74</v>
      </c>
      <c r="O32" s="196">
        <v>120</v>
      </c>
      <c r="P32" s="94">
        <v>0</v>
      </c>
      <c r="Q32" s="225">
        <v>0</v>
      </c>
      <c r="R32" s="182" t="e">
        <f t="shared" si="0"/>
        <v>#VALUE!</v>
      </c>
      <c r="S32" s="190" t="e">
        <f t="shared" si="1"/>
        <v>#VALUE!</v>
      </c>
      <c r="T32" s="171" t="s">
        <v>74</v>
      </c>
      <c r="U32" s="168" t="s">
        <v>887</v>
      </c>
    </row>
    <row r="33" spans="1:21" ht="29" x14ac:dyDescent="0.35">
      <c r="A33" s="451" t="s">
        <v>279</v>
      </c>
      <c r="B33" s="451" t="s">
        <v>279</v>
      </c>
      <c r="C33" s="451" t="s">
        <v>819</v>
      </c>
      <c r="D33" s="456">
        <v>0</v>
      </c>
      <c r="E33" s="477" t="s">
        <v>897</v>
      </c>
      <c r="F33" s="451" t="s">
        <v>884</v>
      </c>
      <c r="G33" s="178" t="s">
        <v>31</v>
      </c>
      <c r="H33" s="179" t="s">
        <v>940</v>
      </c>
      <c r="I33" s="198">
        <v>45529</v>
      </c>
      <c r="J33" s="198" t="s">
        <v>74</v>
      </c>
      <c r="K33" s="203">
        <v>2054.48</v>
      </c>
      <c r="L33" s="203" t="s">
        <v>74</v>
      </c>
      <c r="M33" s="203">
        <f>K33</f>
        <v>2054.48</v>
      </c>
      <c r="N33" s="179">
        <v>0</v>
      </c>
      <c r="O33" s="199">
        <v>120</v>
      </c>
      <c r="P33" s="181">
        <v>0</v>
      </c>
      <c r="Q33" s="225">
        <v>0</v>
      </c>
      <c r="R33" s="182">
        <f t="shared" si="0"/>
        <v>0</v>
      </c>
      <c r="S33" s="190">
        <f t="shared" si="1"/>
        <v>2054.48</v>
      </c>
      <c r="T33" s="182">
        <f t="shared" si="8"/>
        <v>2054.48</v>
      </c>
      <c r="U33" s="228" t="s">
        <v>890</v>
      </c>
    </row>
    <row r="34" spans="1:21" x14ac:dyDescent="0.35">
      <c r="A34" s="483"/>
      <c r="B34" s="483"/>
      <c r="C34" s="483"/>
      <c r="D34" s="484"/>
      <c r="E34" s="485"/>
      <c r="F34" s="483"/>
      <c r="G34" s="178" t="s">
        <v>31</v>
      </c>
      <c r="H34" s="179" t="s">
        <v>870</v>
      </c>
      <c r="I34" s="198" t="s">
        <v>74</v>
      </c>
      <c r="J34" s="198">
        <v>45532</v>
      </c>
      <c r="K34" s="203" t="s">
        <v>74</v>
      </c>
      <c r="L34" s="203">
        <f>M34</f>
        <v>570.53</v>
      </c>
      <c r="M34" s="203">
        <v>570.53</v>
      </c>
      <c r="N34" s="179">
        <v>0</v>
      </c>
      <c r="O34" s="199">
        <v>120</v>
      </c>
      <c r="P34" s="181">
        <v>0</v>
      </c>
      <c r="Q34" s="225">
        <v>0</v>
      </c>
      <c r="R34" s="182">
        <f t="shared" si="0"/>
        <v>0</v>
      </c>
      <c r="S34" s="190">
        <f t="shared" si="1"/>
        <v>570.53</v>
      </c>
      <c r="T34" s="182">
        <f t="shared" si="8"/>
        <v>570.53</v>
      </c>
      <c r="U34" s="227" t="s">
        <v>889</v>
      </c>
    </row>
    <row r="35" spans="1:21" x14ac:dyDescent="0.35">
      <c r="A35" s="483"/>
      <c r="B35" s="483"/>
      <c r="C35" s="483"/>
      <c r="D35" s="484"/>
      <c r="E35" s="485"/>
      <c r="F35" s="483"/>
      <c r="G35" s="454" t="s">
        <v>31</v>
      </c>
      <c r="H35" s="179" t="s">
        <v>864</v>
      </c>
      <c r="I35" s="198" t="s">
        <v>74</v>
      </c>
      <c r="J35" s="198">
        <v>45532</v>
      </c>
      <c r="K35" s="203" t="s">
        <v>74</v>
      </c>
      <c r="L35" s="203">
        <f>M35</f>
        <v>1238.44</v>
      </c>
      <c r="M35" s="203">
        <v>1238.44</v>
      </c>
      <c r="N35" s="179">
        <v>0</v>
      </c>
      <c r="O35" s="199">
        <v>120</v>
      </c>
      <c r="P35" s="181">
        <v>0</v>
      </c>
      <c r="Q35" s="225">
        <v>0</v>
      </c>
      <c r="R35" s="182">
        <f t="shared" si="0"/>
        <v>0</v>
      </c>
      <c r="S35" s="190">
        <f t="shared" si="1"/>
        <v>1238.44</v>
      </c>
      <c r="T35" s="182">
        <f t="shared" si="8"/>
        <v>1238.44</v>
      </c>
      <c r="U35" s="227" t="s">
        <v>888</v>
      </c>
    </row>
    <row r="36" spans="1:21" x14ac:dyDescent="0.35">
      <c r="A36" s="452"/>
      <c r="B36" s="452"/>
      <c r="C36" s="452"/>
      <c r="D36" s="457"/>
      <c r="E36" s="478"/>
      <c r="F36" s="452"/>
      <c r="G36" s="455"/>
      <c r="H36" s="179" t="s">
        <v>864</v>
      </c>
      <c r="I36" s="198" t="s">
        <v>74</v>
      </c>
      <c r="J36" s="198">
        <v>45532</v>
      </c>
      <c r="K36" s="203" t="s">
        <v>74</v>
      </c>
      <c r="L36" s="203">
        <f>M36</f>
        <v>914.64</v>
      </c>
      <c r="M36" s="203">
        <v>914.64</v>
      </c>
      <c r="N36" s="179">
        <v>0</v>
      </c>
      <c r="O36" s="199">
        <v>120</v>
      </c>
      <c r="P36" s="181">
        <v>0</v>
      </c>
      <c r="Q36" s="225">
        <v>0</v>
      </c>
      <c r="R36" s="182">
        <f t="shared" si="0"/>
        <v>0</v>
      </c>
      <c r="S36" s="190">
        <f t="shared" si="1"/>
        <v>914.64</v>
      </c>
      <c r="T36" s="182">
        <f t="shared" si="8"/>
        <v>914.64</v>
      </c>
      <c r="U36" s="227"/>
    </row>
    <row r="37" spans="1:21" x14ac:dyDescent="0.35">
      <c r="A37" s="475" t="s">
        <v>250</v>
      </c>
      <c r="B37" s="475" t="s">
        <v>250</v>
      </c>
      <c r="C37" s="451" t="s">
        <v>378</v>
      </c>
      <c r="D37" s="456">
        <v>0</v>
      </c>
      <c r="E37" s="474" t="s">
        <v>896</v>
      </c>
      <c r="F37" s="489" t="s">
        <v>884</v>
      </c>
      <c r="G37" s="178" t="s">
        <v>31</v>
      </c>
      <c r="H37" s="179" t="s">
        <v>865</v>
      </c>
      <c r="I37" s="198">
        <v>45529</v>
      </c>
      <c r="J37" s="226">
        <v>45532</v>
      </c>
      <c r="K37" s="203">
        <f>1877.9+56.22</f>
        <v>1934.1200000000001</v>
      </c>
      <c r="L37" s="203">
        <f>786.8+32.1</f>
        <v>818.9</v>
      </c>
      <c r="M37" s="203">
        <f t="shared" si="9"/>
        <v>2753.02</v>
      </c>
      <c r="N37" s="179">
        <v>0</v>
      </c>
      <c r="O37" s="199">
        <v>120</v>
      </c>
      <c r="P37" s="181">
        <v>0</v>
      </c>
      <c r="Q37" s="225">
        <v>0</v>
      </c>
      <c r="R37" s="182">
        <f t="shared" si="0"/>
        <v>0</v>
      </c>
      <c r="S37" s="190">
        <f t="shared" si="1"/>
        <v>2753.02</v>
      </c>
      <c r="T37" s="182">
        <f t="shared" si="8"/>
        <v>2753.02</v>
      </c>
      <c r="U37" s="227" t="s">
        <v>893</v>
      </c>
    </row>
    <row r="38" spans="1:21" ht="29" x14ac:dyDescent="0.35">
      <c r="A38" s="476"/>
      <c r="B38" s="476"/>
      <c r="C38" s="452"/>
      <c r="D38" s="457"/>
      <c r="E38" s="474"/>
      <c r="F38" s="489"/>
      <c r="G38" s="178" t="s">
        <v>31</v>
      </c>
      <c r="H38" s="179" t="s">
        <v>869</v>
      </c>
      <c r="I38" s="198">
        <v>45532</v>
      </c>
      <c r="J38" s="198">
        <v>45532</v>
      </c>
      <c r="K38" s="203">
        <f>571.16+400</f>
        <v>971.16</v>
      </c>
      <c r="L38" s="203">
        <v>0</v>
      </c>
      <c r="M38" s="203">
        <f t="shared" si="9"/>
        <v>971.16</v>
      </c>
      <c r="N38" s="179">
        <v>0</v>
      </c>
      <c r="O38" s="199">
        <v>120</v>
      </c>
      <c r="P38" s="181">
        <v>0</v>
      </c>
      <c r="Q38" s="225">
        <v>0</v>
      </c>
      <c r="R38" s="182">
        <f t="shared" si="0"/>
        <v>0</v>
      </c>
      <c r="S38" s="190">
        <f t="shared" si="1"/>
        <v>971.16</v>
      </c>
      <c r="T38" s="182">
        <f t="shared" si="8"/>
        <v>971.16</v>
      </c>
      <c r="U38" s="228" t="s">
        <v>894</v>
      </c>
    </row>
    <row r="39" spans="1:21" ht="58" x14ac:dyDescent="0.3">
      <c r="A39" s="154" t="s">
        <v>250</v>
      </c>
      <c r="B39" s="215" t="s">
        <v>901</v>
      </c>
      <c r="C39" s="164" t="s">
        <v>802</v>
      </c>
      <c r="D39" s="217">
        <v>404</v>
      </c>
      <c r="E39" s="175" t="s">
        <v>898</v>
      </c>
      <c r="F39" s="191" t="s">
        <v>871</v>
      </c>
      <c r="G39" s="76" t="s">
        <v>31</v>
      </c>
      <c r="H39" s="164" t="s">
        <v>860</v>
      </c>
      <c r="I39" s="195">
        <v>45510</v>
      </c>
      <c r="J39" s="195">
        <v>45511</v>
      </c>
      <c r="K39" s="196">
        <f>M39/2</f>
        <v>1250.6099999999999</v>
      </c>
      <c r="L39" s="196">
        <f>M39/2</f>
        <v>1250.6099999999999</v>
      </c>
      <c r="M39" s="196">
        <v>2501.2199999999998</v>
      </c>
      <c r="N39" s="169">
        <f>(J39-I39)+1</f>
        <v>2</v>
      </c>
      <c r="O39" s="197">
        <v>120</v>
      </c>
      <c r="P39" s="94">
        <v>0</v>
      </c>
      <c r="Q39" s="130">
        <v>0</v>
      </c>
      <c r="R39" s="70">
        <f t="shared" si="0"/>
        <v>240</v>
      </c>
      <c r="S39" s="70">
        <f t="shared" si="1"/>
        <v>2741.22</v>
      </c>
      <c r="T39" s="70">
        <f t="shared" si="8"/>
        <v>2741.22</v>
      </c>
      <c r="U39" s="169"/>
    </row>
    <row r="40" spans="1:21" ht="43.5" x14ac:dyDescent="0.3">
      <c r="A40" s="126" t="s">
        <v>229</v>
      </c>
      <c r="B40" s="126" t="s">
        <v>229</v>
      </c>
      <c r="C40" s="194" t="s">
        <v>757</v>
      </c>
      <c r="D40" s="222">
        <v>392</v>
      </c>
      <c r="E40" s="175" t="s">
        <v>798</v>
      </c>
      <c r="F40" s="191" t="s">
        <v>871</v>
      </c>
      <c r="G40" s="76" t="s">
        <v>31</v>
      </c>
      <c r="H40" s="164" t="s">
        <v>860</v>
      </c>
      <c r="I40" s="195">
        <v>45510</v>
      </c>
      <c r="J40" s="195">
        <v>45511</v>
      </c>
      <c r="K40" s="196">
        <f t="shared" ref="K40" si="10">M40/2</f>
        <v>1341.84</v>
      </c>
      <c r="L40" s="196">
        <f t="shared" ref="L40" si="11">M40/2</f>
        <v>1341.84</v>
      </c>
      <c r="M40" s="196">
        <v>2683.68</v>
      </c>
      <c r="N40" s="169">
        <f>(J40-I40)+1</f>
        <v>2</v>
      </c>
      <c r="O40" s="197">
        <v>120</v>
      </c>
      <c r="P40" s="94">
        <v>0</v>
      </c>
      <c r="Q40" s="130">
        <v>0</v>
      </c>
      <c r="R40" s="70">
        <f t="shared" si="0"/>
        <v>240</v>
      </c>
      <c r="S40" s="70">
        <f t="shared" si="1"/>
        <v>2923.68</v>
      </c>
      <c r="T40" s="70">
        <f t="shared" si="8"/>
        <v>2923.68</v>
      </c>
      <c r="U40" s="169"/>
    </row>
    <row r="41" spans="1:21" x14ac:dyDescent="0.3">
      <c r="A41" s="126" t="s">
        <v>279</v>
      </c>
      <c r="B41" s="126" t="s">
        <v>903</v>
      </c>
      <c r="C41" s="250" t="s">
        <v>930</v>
      </c>
      <c r="D41" s="247"/>
      <c r="E41" s="216" t="s">
        <v>931</v>
      </c>
      <c r="F41" s="169" t="s">
        <v>881</v>
      </c>
      <c r="G41" s="214" t="s">
        <v>31</v>
      </c>
      <c r="H41" s="174" t="s">
        <v>865</v>
      </c>
      <c r="I41" s="243">
        <v>45512</v>
      </c>
      <c r="J41" s="195">
        <v>45513</v>
      </c>
      <c r="K41" s="205">
        <f>1128.44+56.22</f>
        <v>1184.6600000000001</v>
      </c>
      <c r="L41" s="205">
        <f>515.43+32.1</f>
        <v>547.53</v>
      </c>
      <c r="M41" s="205">
        <f>K41+L41</f>
        <v>1732.19</v>
      </c>
      <c r="N41" s="169">
        <f>(J41-I41)+1</f>
        <v>2</v>
      </c>
      <c r="O41" s="235">
        <v>120</v>
      </c>
      <c r="P41" s="162">
        <v>0</v>
      </c>
      <c r="Q41" s="248">
        <v>0</v>
      </c>
      <c r="R41" s="249">
        <f t="shared" si="0"/>
        <v>240</v>
      </c>
      <c r="S41" s="249">
        <f t="shared" si="1"/>
        <v>1972.19</v>
      </c>
      <c r="T41" s="249">
        <f t="shared" si="8"/>
        <v>1972.19</v>
      </c>
      <c r="U41" s="169"/>
    </row>
    <row r="42" spans="1:21" ht="29" x14ac:dyDescent="0.3">
      <c r="A42" s="126" t="s">
        <v>279</v>
      </c>
      <c r="B42" s="126" t="s">
        <v>903</v>
      </c>
      <c r="C42" s="215" t="s">
        <v>929</v>
      </c>
      <c r="D42" s="247"/>
      <c r="E42" s="216" t="s">
        <v>664</v>
      </c>
      <c r="F42" s="169" t="s">
        <v>881</v>
      </c>
      <c r="G42" s="214" t="s">
        <v>31</v>
      </c>
      <c r="H42" s="174" t="s">
        <v>865</v>
      </c>
      <c r="I42" s="243">
        <v>45512</v>
      </c>
      <c r="J42" s="195">
        <v>45514</v>
      </c>
      <c r="K42" s="205">
        <f>M42/2</f>
        <v>639.48500000000001</v>
      </c>
      <c r="L42" s="205">
        <f>N42/2</f>
        <v>1</v>
      </c>
      <c r="M42" s="205">
        <f>1190.65+88.32</f>
        <v>1278.97</v>
      </c>
      <c r="N42" s="169">
        <v>2</v>
      </c>
      <c r="O42" s="235">
        <v>120</v>
      </c>
      <c r="P42" s="162">
        <v>0</v>
      </c>
      <c r="Q42" s="248">
        <v>0</v>
      </c>
      <c r="R42" s="249">
        <f t="shared" si="0"/>
        <v>240</v>
      </c>
      <c r="S42" s="249">
        <f t="shared" si="1"/>
        <v>1518.97</v>
      </c>
      <c r="T42" s="249">
        <f t="shared" si="8"/>
        <v>1518.97</v>
      </c>
      <c r="U42" s="220" t="s">
        <v>928</v>
      </c>
    </row>
    <row r="43" spans="1:21" ht="43.5" x14ac:dyDescent="0.3">
      <c r="A43" s="163" t="s">
        <v>250</v>
      </c>
      <c r="B43" s="242" t="s">
        <v>902</v>
      </c>
      <c r="C43" s="172" t="s">
        <v>878</v>
      </c>
      <c r="D43" s="161"/>
      <c r="E43" s="219" t="s">
        <v>899</v>
      </c>
      <c r="F43" s="169" t="s">
        <v>881</v>
      </c>
      <c r="G43" s="214" t="s">
        <v>31</v>
      </c>
      <c r="H43" s="174" t="s">
        <v>865</v>
      </c>
      <c r="I43" s="243">
        <v>45512</v>
      </c>
      <c r="J43" s="243">
        <v>45515</v>
      </c>
      <c r="K43" s="244">
        <f t="shared" ref="K43:K47" si="12">M43/2</f>
        <v>921.56</v>
      </c>
      <c r="L43" s="244">
        <f t="shared" ref="L43:L47" si="13">M43/2</f>
        <v>921.56</v>
      </c>
      <c r="M43" s="245">
        <v>1843.12</v>
      </c>
      <c r="N43" s="241">
        <v>2</v>
      </c>
      <c r="O43" s="246">
        <v>120</v>
      </c>
      <c r="P43" s="162">
        <v>0</v>
      </c>
      <c r="Q43" s="248">
        <v>0</v>
      </c>
      <c r="R43" s="249">
        <f t="shared" si="0"/>
        <v>240</v>
      </c>
      <c r="S43" s="249">
        <f t="shared" si="1"/>
        <v>2083.12</v>
      </c>
      <c r="T43" s="249">
        <f t="shared" si="8"/>
        <v>2083.12</v>
      </c>
      <c r="U43" s="220" t="s">
        <v>928</v>
      </c>
    </row>
    <row r="44" spans="1:21" ht="29" x14ac:dyDescent="0.3">
      <c r="A44" s="126" t="s">
        <v>250</v>
      </c>
      <c r="B44" s="126" t="s">
        <v>250</v>
      </c>
      <c r="C44" s="169" t="s">
        <v>670</v>
      </c>
      <c r="D44" s="94">
        <v>383</v>
      </c>
      <c r="E44" s="175" t="s">
        <v>900</v>
      </c>
      <c r="F44" s="169" t="s">
        <v>882</v>
      </c>
      <c r="G44" s="76" t="s">
        <v>31</v>
      </c>
      <c r="H44" s="169" t="s">
        <v>866</v>
      </c>
      <c r="I44" s="195">
        <v>45525</v>
      </c>
      <c r="J44" s="195">
        <v>45527</v>
      </c>
      <c r="K44" s="196">
        <f t="shared" si="12"/>
        <v>1512.37</v>
      </c>
      <c r="L44" s="196">
        <f t="shared" si="13"/>
        <v>1512.37</v>
      </c>
      <c r="M44" s="201">
        <v>3024.74</v>
      </c>
      <c r="N44" s="173">
        <v>3</v>
      </c>
      <c r="O44" s="200">
        <v>120</v>
      </c>
      <c r="P44" s="94">
        <v>0</v>
      </c>
      <c r="Q44" s="170">
        <v>0</v>
      </c>
      <c r="R44" s="171">
        <f t="shared" si="0"/>
        <v>360</v>
      </c>
      <c r="S44" s="171">
        <f t="shared" si="1"/>
        <v>3384.74</v>
      </c>
      <c r="T44" s="171">
        <f t="shared" si="8"/>
        <v>3384.74</v>
      </c>
      <c r="U44" s="169"/>
    </row>
    <row r="45" spans="1:21" ht="58" x14ac:dyDescent="0.3">
      <c r="A45" s="164" t="s">
        <v>279</v>
      </c>
      <c r="B45" s="215" t="s">
        <v>903</v>
      </c>
      <c r="C45" s="173" t="s">
        <v>447</v>
      </c>
      <c r="D45" s="160">
        <v>336</v>
      </c>
      <c r="E45" s="218" t="s">
        <v>309</v>
      </c>
      <c r="F45" s="173" t="s">
        <v>882</v>
      </c>
      <c r="G45" s="76" t="s">
        <v>31</v>
      </c>
      <c r="H45" s="194" t="s">
        <v>866</v>
      </c>
      <c r="I45" s="195">
        <v>45525</v>
      </c>
      <c r="J45" s="195">
        <v>45527</v>
      </c>
      <c r="K45" s="196">
        <f>2299.87+45.56</f>
        <v>2345.4299999999998</v>
      </c>
      <c r="L45" s="196">
        <f>2808.96+56.22</f>
        <v>2865.18</v>
      </c>
      <c r="M45" s="201">
        <f>K45+L45</f>
        <v>5210.6099999999997</v>
      </c>
      <c r="N45" s="173">
        <v>3</v>
      </c>
      <c r="O45" s="202">
        <v>120</v>
      </c>
      <c r="P45" s="94">
        <v>0</v>
      </c>
      <c r="Q45" s="170">
        <v>0</v>
      </c>
      <c r="R45" s="159">
        <f t="shared" si="0"/>
        <v>360</v>
      </c>
      <c r="S45" s="171">
        <f t="shared" si="1"/>
        <v>5570.61</v>
      </c>
      <c r="T45" s="171">
        <f t="shared" si="8"/>
        <v>5570.61</v>
      </c>
      <c r="U45" s="169"/>
    </row>
    <row r="46" spans="1:21" ht="43.5" x14ac:dyDescent="0.3">
      <c r="A46" s="126" t="s">
        <v>250</v>
      </c>
      <c r="B46" s="126" t="s">
        <v>250</v>
      </c>
      <c r="C46" s="169" t="s">
        <v>92</v>
      </c>
      <c r="D46" s="94"/>
      <c r="E46" s="175" t="s">
        <v>536</v>
      </c>
      <c r="F46" s="175" t="s">
        <v>883</v>
      </c>
      <c r="G46" s="76" t="s">
        <v>31</v>
      </c>
      <c r="H46" s="169" t="s">
        <v>867</v>
      </c>
      <c r="I46" s="195">
        <v>45525</v>
      </c>
      <c r="J46" s="195">
        <v>45527</v>
      </c>
      <c r="K46" s="196">
        <f t="shared" si="12"/>
        <v>698.99</v>
      </c>
      <c r="L46" s="196">
        <f t="shared" si="13"/>
        <v>698.99</v>
      </c>
      <c r="M46" s="201">
        <v>1397.98</v>
      </c>
      <c r="N46" s="169">
        <f t="shared" ref="N46:N47" si="14">(J46-I46)+1</f>
        <v>3</v>
      </c>
      <c r="O46" s="200">
        <v>120</v>
      </c>
      <c r="P46" s="94">
        <v>0</v>
      </c>
      <c r="Q46" s="170">
        <v>0</v>
      </c>
      <c r="R46" s="171">
        <f t="shared" si="0"/>
        <v>360</v>
      </c>
      <c r="S46" s="171">
        <f t="shared" si="1"/>
        <v>1757.98</v>
      </c>
      <c r="T46" s="171">
        <f t="shared" si="8"/>
        <v>1757.98</v>
      </c>
      <c r="U46" s="169"/>
    </row>
    <row r="47" spans="1:21" ht="58" x14ac:dyDescent="0.3">
      <c r="A47" s="126" t="s">
        <v>250</v>
      </c>
      <c r="B47" s="215" t="s">
        <v>922</v>
      </c>
      <c r="C47" s="169" t="s">
        <v>323</v>
      </c>
      <c r="D47" s="94">
        <v>87</v>
      </c>
      <c r="E47" s="175" t="s">
        <v>906</v>
      </c>
      <c r="F47" s="169" t="s">
        <v>882</v>
      </c>
      <c r="G47" s="76" t="s">
        <v>31</v>
      </c>
      <c r="H47" s="169" t="s">
        <v>866</v>
      </c>
      <c r="I47" s="195">
        <v>45525</v>
      </c>
      <c r="J47" s="195">
        <v>45527</v>
      </c>
      <c r="K47" s="196">
        <f t="shared" si="12"/>
        <v>1512.37</v>
      </c>
      <c r="L47" s="196">
        <f t="shared" si="13"/>
        <v>1512.37</v>
      </c>
      <c r="M47" s="201">
        <v>3024.74</v>
      </c>
      <c r="N47" s="169">
        <f t="shared" si="14"/>
        <v>3</v>
      </c>
      <c r="O47" s="200">
        <v>120</v>
      </c>
      <c r="P47" s="94">
        <v>0</v>
      </c>
      <c r="Q47" s="170">
        <v>0</v>
      </c>
      <c r="R47" s="240">
        <f>N47*O47+P47*Q47</f>
        <v>360</v>
      </c>
      <c r="S47" s="171">
        <f t="shared" si="1"/>
        <v>3384.74</v>
      </c>
      <c r="T47" s="171">
        <f t="shared" si="8"/>
        <v>3384.74</v>
      </c>
      <c r="U47" s="169"/>
    </row>
    <row r="48" spans="1:21" ht="29" x14ac:dyDescent="0.3">
      <c r="A48" s="126" t="s">
        <v>229</v>
      </c>
      <c r="B48" s="215" t="s">
        <v>904</v>
      </c>
      <c r="C48" s="169" t="s">
        <v>872</v>
      </c>
      <c r="D48" s="94">
        <v>390</v>
      </c>
      <c r="E48" s="216" t="s">
        <v>905</v>
      </c>
      <c r="F48" s="175" t="s">
        <v>874</v>
      </c>
      <c r="G48" s="76" t="s">
        <v>31</v>
      </c>
      <c r="H48" s="169" t="s">
        <v>880</v>
      </c>
      <c r="I48" s="195">
        <v>45523</v>
      </c>
      <c r="J48" s="195">
        <v>45525</v>
      </c>
      <c r="K48" s="205">
        <f>708.38+56.22</f>
        <v>764.6</v>
      </c>
      <c r="L48" s="205">
        <f>1086.88+44.99</f>
        <v>1131.8700000000001</v>
      </c>
      <c r="M48" s="205">
        <f>K48+L48</f>
        <v>1896.4700000000003</v>
      </c>
      <c r="N48" s="169">
        <f>(J48-I48)+1</f>
        <v>3</v>
      </c>
      <c r="O48" s="206">
        <v>120</v>
      </c>
      <c r="P48" s="94">
        <v>0</v>
      </c>
      <c r="Q48" s="170">
        <v>0</v>
      </c>
      <c r="R48" s="193">
        <f>N48*O48</f>
        <v>360</v>
      </c>
      <c r="S48" s="187">
        <f>M48+R48</f>
        <v>2256.4700000000003</v>
      </c>
      <c r="T48" s="188">
        <f t="shared" si="8"/>
        <v>2256.4700000000003</v>
      </c>
      <c r="U48" s="169"/>
    </row>
    <row r="49" spans="1:21" ht="29" x14ac:dyDescent="0.3">
      <c r="A49" s="126" t="s">
        <v>250</v>
      </c>
      <c r="B49" s="126" t="s">
        <v>250</v>
      </c>
      <c r="C49" s="169" t="s">
        <v>873</v>
      </c>
      <c r="D49" s="94">
        <v>383</v>
      </c>
      <c r="E49" s="216" t="s">
        <v>900</v>
      </c>
      <c r="F49" s="175" t="s">
        <v>884</v>
      </c>
      <c r="G49" s="76" t="s">
        <v>31</v>
      </c>
      <c r="H49" s="169" t="s">
        <v>865</v>
      </c>
      <c r="I49" s="195">
        <v>45529</v>
      </c>
      <c r="J49" s="195">
        <v>45532</v>
      </c>
      <c r="K49" s="205">
        <f>1877.9+56.22</f>
        <v>1934.1200000000001</v>
      </c>
      <c r="L49" s="205">
        <f>786.8+32.1</f>
        <v>818.9</v>
      </c>
      <c r="M49" s="205">
        <f>K49+L49</f>
        <v>2753.02</v>
      </c>
      <c r="N49" s="169">
        <f>(J49-I49)+1</f>
        <v>4</v>
      </c>
      <c r="O49" s="200">
        <v>120</v>
      </c>
      <c r="P49" s="94">
        <v>0</v>
      </c>
      <c r="Q49" s="170">
        <v>0</v>
      </c>
      <c r="R49" s="193">
        <f>N49*O49</f>
        <v>480</v>
      </c>
      <c r="S49" s="187">
        <f>M49+R49</f>
        <v>3233.02</v>
      </c>
      <c r="T49" s="188">
        <f t="shared" si="8"/>
        <v>3233.02</v>
      </c>
      <c r="U49" s="213" t="s">
        <v>895</v>
      </c>
    </row>
    <row r="50" spans="1:21" ht="29" x14ac:dyDescent="0.35">
      <c r="A50" s="126" t="s">
        <v>250</v>
      </c>
      <c r="B50" s="169" t="s">
        <v>934</v>
      </c>
      <c r="C50" s="169" t="s">
        <v>932</v>
      </c>
      <c r="D50" s="94">
        <v>74</v>
      </c>
      <c r="E50" s="175" t="s">
        <v>536</v>
      </c>
      <c r="F50" s="175" t="s">
        <v>949</v>
      </c>
      <c r="G50" s="76" t="s">
        <v>31</v>
      </c>
      <c r="H50" s="169" t="s">
        <v>933</v>
      </c>
      <c r="I50" s="195">
        <v>45530</v>
      </c>
      <c r="J50" s="195">
        <v>45532</v>
      </c>
      <c r="K50" s="201">
        <f>M50/2</f>
        <v>1208.9549999999999</v>
      </c>
      <c r="L50" s="201">
        <f>M50/2</f>
        <v>1208.9549999999999</v>
      </c>
      <c r="M50" s="201">
        <f>2316.62+101.29</f>
        <v>2417.91</v>
      </c>
      <c r="N50" s="169">
        <f>(J50-I50)+1</f>
        <v>3</v>
      </c>
      <c r="O50" s="251">
        <v>120</v>
      </c>
      <c r="P50" s="94">
        <v>0</v>
      </c>
      <c r="Q50" s="170">
        <v>0</v>
      </c>
      <c r="R50" s="171">
        <f>N50*O50</f>
        <v>360</v>
      </c>
      <c r="S50" s="252">
        <f>M50+R50</f>
        <v>2777.91</v>
      </c>
      <c r="T50" s="252">
        <f>S50</f>
        <v>2777.91</v>
      </c>
      <c r="U50" s="168"/>
    </row>
    <row r="51" spans="1:21" x14ac:dyDescent="0.3">
      <c r="A51" s="479" t="s">
        <v>279</v>
      </c>
      <c r="B51" s="479" t="s">
        <v>903</v>
      </c>
      <c r="C51" s="479" t="s">
        <v>135</v>
      </c>
      <c r="D51" s="397">
        <v>230</v>
      </c>
      <c r="E51" s="486" t="s">
        <v>411</v>
      </c>
      <c r="F51" s="479" t="s">
        <v>884</v>
      </c>
      <c r="G51" s="399" t="s">
        <v>31</v>
      </c>
      <c r="H51" s="169" t="s">
        <v>869</v>
      </c>
      <c r="I51" s="195">
        <v>45529</v>
      </c>
      <c r="J51" s="195" t="s">
        <v>74</v>
      </c>
      <c r="K51" s="201">
        <f>455.71+54.2</f>
        <v>509.90999999999997</v>
      </c>
      <c r="L51" s="201" t="s">
        <v>74</v>
      </c>
      <c r="M51" s="201">
        <f>K51</f>
        <v>509.90999999999997</v>
      </c>
      <c r="N51" s="490">
        <f>(J54-I51)+1</f>
        <v>4</v>
      </c>
      <c r="O51" s="493">
        <v>120</v>
      </c>
      <c r="P51" s="94">
        <v>0</v>
      </c>
      <c r="Q51" s="170">
        <v>0</v>
      </c>
      <c r="R51" s="395">
        <f t="shared" ref="R51" si="15">N51*O51+P51*Q51</f>
        <v>480</v>
      </c>
      <c r="S51" s="252">
        <f>M51+R51+M52+M53+M54</f>
        <v>3961.6699999999996</v>
      </c>
      <c r="T51" s="171">
        <f t="shared" ref="T51" si="16">S51</f>
        <v>3961.6699999999996</v>
      </c>
      <c r="U51" s="496" t="s">
        <v>891</v>
      </c>
    </row>
    <row r="52" spans="1:21" x14ac:dyDescent="0.3">
      <c r="A52" s="480"/>
      <c r="B52" s="480"/>
      <c r="C52" s="480"/>
      <c r="D52" s="435"/>
      <c r="E52" s="487"/>
      <c r="F52" s="480"/>
      <c r="G52" s="498"/>
      <c r="H52" s="169" t="s">
        <v>870</v>
      </c>
      <c r="I52" s="195" t="s">
        <v>74</v>
      </c>
      <c r="J52" s="195">
        <v>45532</v>
      </c>
      <c r="K52" s="195" t="s">
        <v>74</v>
      </c>
      <c r="L52" s="201">
        <f>571.16+400</f>
        <v>971.16</v>
      </c>
      <c r="M52" s="201">
        <f>L52</f>
        <v>971.16</v>
      </c>
      <c r="N52" s="491"/>
      <c r="O52" s="494"/>
      <c r="P52" s="94">
        <v>0</v>
      </c>
      <c r="Q52" s="170">
        <v>0</v>
      </c>
      <c r="R52" s="415"/>
      <c r="S52" s="171" t="s">
        <v>74</v>
      </c>
      <c r="T52" s="171" t="s">
        <v>74</v>
      </c>
      <c r="U52" s="497"/>
    </row>
    <row r="53" spans="1:21" x14ac:dyDescent="0.35">
      <c r="A53" s="480"/>
      <c r="B53" s="480"/>
      <c r="C53" s="480"/>
      <c r="D53" s="435"/>
      <c r="E53" s="487"/>
      <c r="F53" s="480"/>
      <c r="G53" s="498"/>
      <c r="H53" s="169" t="s">
        <v>864</v>
      </c>
      <c r="I53" s="195" t="s">
        <v>74</v>
      </c>
      <c r="J53" s="195">
        <v>45532</v>
      </c>
      <c r="K53" s="195" t="s">
        <v>74</v>
      </c>
      <c r="L53" s="201">
        <f>597.57+32.1</f>
        <v>629.67000000000007</v>
      </c>
      <c r="M53" s="201">
        <f>L53</f>
        <v>629.67000000000007</v>
      </c>
      <c r="N53" s="491"/>
      <c r="O53" s="494"/>
      <c r="P53" s="94">
        <v>0</v>
      </c>
      <c r="Q53" s="170">
        <v>0</v>
      </c>
      <c r="R53" s="415"/>
      <c r="S53" s="171" t="s">
        <v>74</v>
      </c>
      <c r="T53" s="171" t="s">
        <v>74</v>
      </c>
      <c r="U53" s="168" t="s">
        <v>938</v>
      </c>
    </row>
    <row r="54" spans="1:21" x14ac:dyDescent="0.35">
      <c r="A54" s="481"/>
      <c r="B54" s="481"/>
      <c r="C54" s="481"/>
      <c r="D54" s="398"/>
      <c r="E54" s="488"/>
      <c r="F54" s="481"/>
      <c r="G54" s="400"/>
      <c r="H54" s="169" t="s">
        <v>864</v>
      </c>
      <c r="I54" s="195" t="s">
        <v>74</v>
      </c>
      <c r="J54" s="195">
        <v>45532</v>
      </c>
      <c r="K54" s="195" t="s">
        <v>74</v>
      </c>
      <c r="L54" s="201">
        <f>1338.83+32.1</f>
        <v>1370.9299999999998</v>
      </c>
      <c r="M54" s="201">
        <f>L54</f>
        <v>1370.9299999999998</v>
      </c>
      <c r="N54" s="492"/>
      <c r="O54" s="495"/>
      <c r="P54" s="94">
        <v>0</v>
      </c>
      <c r="Q54" s="170">
        <v>0</v>
      </c>
      <c r="R54" s="396"/>
      <c r="S54" s="171"/>
      <c r="T54" s="171"/>
      <c r="U54" s="168" t="s">
        <v>939</v>
      </c>
    </row>
  </sheetData>
  <mergeCells count="74">
    <mergeCell ref="N51:N54"/>
    <mergeCell ref="O51:O54"/>
    <mergeCell ref="U51:U52"/>
    <mergeCell ref="B51:B54"/>
    <mergeCell ref="A51:A54"/>
    <mergeCell ref="R51:R54"/>
    <mergeCell ref="C51:C54"/>
    <mergeCell ref="D51:D54"/>
    <mergeCell ref="E51:E54"/>
    <mergeCell ref="F51:F54"/>
    <mergeCell ref="G51:G54"/>
    <mergeCell ref="B33:B36"/>
    <mergeCell ref="A33:A36"/>
    <mergeCell ref="A37:A38"/>
    <mergeCell ref="B37:B38"/>
    <mergeCell ref="C37:C38"/>
    <mergeCell ref="F37:F38"/>
    <mergeCell ref="F33:F36"/>
    <mergeCell ref="E33:E36"/>
    <mergeCell ref="D33:D36"/>
    <mergeCell ref="C33:C36"/>
    <mergeCell ref="D37:D38"/>
    <mergeCell ref="E37:E38"/>
    <mergeCell ref="F30:F32"/>
    <mergeCell ref="A22:A25"/>
    <mergeCell ref="B22:B25"/>
    <mergeCell ref="C22:C25"/>
    <mergeCell ref="D22:D25"/>
    <mergeCell ref="E22:E25"/>
    <mergeCell ref="F23:F25"/>
    <mergeCell ref="A30:A32"/>
    <mergeCell ref="B30:B32"/>
    <mergeCell ref="C30:C32"/>
    <mergeCell ref="D30:D32"/>
    <mergeCell ref="E30:E32"/>
    <mergeCell ref="A10:A11"/>
    <mergeCell ref="B10:B11"/>
    <mergeCell ref="C10:C11"/>
    <mergeCell ref="D10:D11"/>
    <mergeCell ref="E10:E11"/>
    <mergeCell ref="A8:A9"/>
    <mergeCell ref="B8:B9"/>
    <mergeCell ref="C8:C9"/>
    <mergeCell ref="D8:D9"/>
    <mergeCell ref="E8:E9"/>
    <mergeCell ref="N10:N11"/>
    <mergeCell ref="P3:Q3"/>
    <mergeCell ref="R3:R4"/>
    <mergeCell ref="G35:G36"/>
    <mergeCell ref="U15:U16"/>
    <mergeCell ref="H3:H4"/>
    <mergeCell ref="S3:S4"/>
    <mergeCell ref="N8:N9"/>
    <mergeCell ref="I3:I4"/>
    <mergeCell ref="J3:J4"/>
    <mergeCell ref="K3:K4"/>
    <mergeCell ref="L3:L4"/>
    <mergeCell ref="M3:M4"/>
    <mergeCell ref="N3:O3"/>
    <mergeCell ref="G3:G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</mergeCells>
  <phoneticPr fontId="74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6100F-BA06-4548-987F-974F8C7E6660}">
  <dimension ref="A1:V31"/>
  <sheetViews>
    <sheetView showGridLines="0" topLeftCell="A11" zoomScale="90" zoomScaleNormal="90" workbookViewId="0">
      <selection activeCell="D25" sqref="D25"/>
    </sheetView>
  </sheetViews>
  <sheetFormatPr defaultRowHeight="14.5" x14ac:dyDescent="0.35"/>
  <cols>
    <col min="1" max="1" width="38.5" bestFit="1" customWidth="1"/>
    <col min="2" max="2" width="48.33203125" bestFit="1" customWidth="1"/>
    <col min="3" max="3" width="45.08203125" style="165" bestFit="1" customWidth="1"/>
    <col min="4" max="4" width="12.5" customWidth="1"/>
    <col min="5" max="5" width="15" style="221" customWidth="1"/>
    <col min="6" max="6" width="29.75" style="166" customWidth="1"/>
    <col min="7" max="7" width="13.83203125" bestFit="1" customWidth="1"/>
    <col min="8" max="8" width="37.83203125" style="165" bestFit="1" customWidth="1"/>
    <col min="9" max="9" width="11.5" style="165" bestFit="1" customWidth="1"/>
    <col min="10" max="10" width="9.83203125" style="165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</row>
    <row r="2" spans="1:22" x14ac:dyDescent="0.35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94"/>
      <c r="J2" s="394"/>
      <c r="K2" s="442" t="s">
        <v>7</v>
      </c>
      <c r="L2" s="442"/>
      <c r="M2" s="442"/>
      <c r="N2" s="337" t="s">
        <v>1</v>
      </c>
      <c r="O2" s="337"/>
      <c r="P2" s="337"/>
      <c r="Q2" s="337"/>
      <c r="R2" s="337"/>
      <c r="S2" s="337"/>
      <c r="T2" s="337" t="s">
        <v>8</v>
      </c>
      <c r="U2" s="443" t="s">
        <v>9</v>
      </c>
    </row>
    <row r="3" spans="1:22" s="167" customFormat="1" x14ac:dyDescent="0.3">
      <c r="A3" s="445" t="s">
        <v>10</v>
      </c>
      <c r="B3" s="445" t="s">
        <v>11</v>
      </c>
      <c r="C3" s="447" t="s">
        <v>12</v>
      </c>
      <c r="D3" s="445" t="s">
        <v>13</v>
      </c>
      <c r="E3" s="449" t="s">
        <v>14</v>
      </c>
      <c r="F3" s="447" t="s">
        <v>15</v>
      </c>
      <c r="G3" s="445" t="s">
        <v>16</v>
      </c>
      <c r="H3" s="458" t="s">
        <v>859</v>
      </c>
      <c r="I3" s="461" t="s">
        <v>19</v>
      </c>
      <c r="J3" s="461" t="s">
        <v>20</v>
      </c>
      <c r="K3" s="463" t="s">
        <v>21</v>
      </c>
      <c r="L3" s="465" t="s">
        <v>22</v>
      </c>
      <c r="M3" s="467" t="s">
        <v>23</v>
      </c>
      <c r="N3" s="467" t="s">
        <v>24</v>
      </c>
      <c r="O3" s="467"/>
      <c r="P3" s="453" t="s">
        <v>25</v>
      </c>
      <c r="Q3" s="453"/>
      <c r="R3" s="445" t="s">
        <v>26</v>
      </c>
      <c r="S3" s="453" t="s">
        <v>23</v>
      </c>
      <c r="T3" s="337"/>
      <c r="U3" s="443"/>
    </row>
    <row r="4" spans="1:22" s="167" customFormat="1" x14ac:dyDescent="0.3">
      <c r="A4" s="446"/>
      <c r="B4" s="446"/>
      <c r="C4" s="448"/>
      <c r="D4" s="446"/>
      <c r="E4" s="450"/>
      <c r="F4" s="448"/>
      <c r="G4" s="446"/>
      <c r="H4" s="459"/>
      <c r="I4" s="462"/>
      <c r="J4" s="462"/>
      <c r="K4" s="464"/>
      <c r="L4" s="466"/>
      <c r="M4" s="468"/>
      <c r="N4" s="209" t="s">
        <v>2</v>
      </c>
      <c r="O4" s="210" t="s">
        <v>30</v>
      </c>
      <c r="P4" s="211" t="s">
        <v>2</v>
      </c>
      <c r="Q4" s="212" t="s">
        <v>30</v>
      </c>
      <c r="R4" s="446"/>
      <c r="S4" s="460"/>
      <c r="T4" s="394"/>
      <c r="U4" s="444"/>
    </row>
    <row r="5" spans="1:22" s="119" customFormat="1" ht="29" x14ac:dyDescent="0.3">
      <c r="A5" s="270" t="s">
        <v>950</v>
      </c>
      <c r="B5" s="270" t="s">
        <v>950</v>
      </c>
      <c r="C5" s="164" t="s">
        <v>907</v>
      </c>
      <c r="D5" s="217" t="s">
        <v>74</v>
      </c>
      <c r="E5" s="175" t="s">
        <v>909</v>
      </c>
      <c r="F5" s="191" t="s">
        <v>908</v>
      </c>
      <c r="G5" s="76" t="s">
        <v>31</v>
      </c>
      <c r="H5" s="274" t="s">
        <v>955</v>
      </c>
      <c r="I5" s="195">
        <v>45552</v>
      </c>
      <c r="J5" s="195">
        <v>45553</v>
      </c>
      <c r="K5" s="196">
        <f>M5/2</f>
        <v>1114.57</v>
      </c>
      <c r="L5" s="196">
        <f>M5/2</f>
        <v>1114.57</v>
      </c>
      <c r="M5" s="279">
        <v>2229.14</v>
      </c>
      <c r="N5" s="169">
        <v>0</v>
      </c>
      <c r="O5" s="197">
        <v>200</v>
      </c>
      <c r="P5" s="94">
        <v>0</v>
      </c>
      <c r="Q5" s="130">
        <v>0</v>
      </c>
      <c r="R5" s="70">
        <f t="shared" ref="R5:R17" si="0">N5*O5+P5*Q5</f>
        <v>0</v>
      </c>
      <c r="S5" s="70">
        <f t="shared" ref="S5:S21" si="1">M5+R5</f>
        <v>2229.14</v>
      </c>
      <c r="T5" s="70">
        <f t="shared" ref="T5:T22" si="2">S5</f>
        <v>2229.14</v>
      </c>
      <c r="U5" s="169"/>
      <c r="V5" s="94"/>
    </row>
    <row r="6" spans="1:22" s="119" customFormat="1" ht="29" x14ac:dyDescent="0.3">
      <c r="A6" s="270" t="s">
        <v>950</v>
      </c>
      <c r="B6" s="270" t="s">
        <v>950</v>
      </c>
      <c r="C6" s="194" t="s">
        <v>910</v>
      </c>
      <c r="D6" s="222" t="s">
        <v>74</v>
      </c>
      <c r="E6" s="175" t="s">
        <v>909</v>
      </c>
      <c r="F6" s="191" t="s">
        <v>908</v>
      </c>
      <c r="G6" s="76" t="s">
        <v>31</v>
      </c>
      <c r="H6" s="274" t="s">
        <v>955</v>
      </c>
      <c r="I6" s="195">
        <v>45552</v>
      </c>
      <c r="J6" s="195">
        <v>45553</v>
      </c>
      <c r="K6" s="196">
        <f>M6/2</f>
        <v>1114.57</v>
      </c>
      <c r="L6" s="196">
        <f>M6/2</f>
        <v>1114.57</v>
      </c>
      <c r="M6" s="279">
        <v>2229.14</v>
      </c>
      <c r="N6" s="169">
        <v>0</v>
      </c>
      <c r="O6" s="197">
        <v>200</v>
      </c>
      <c r="P6" s="94">
        <v>0</v>
      </c>
      <c r="Q6" s="130">
        <v>0</v>
      </c>
      <c r="R6" s="70">
        <f t="shared" si="0"/>
        <v>0</v>
      </c>
      <c r="S6" s="70">
        <f t="shared" si="1"/>
        <v>2229.14</v>
      </c>
      <c r="T6" s="70">
        <f t="shared" si="2"/>
        <v>2229.14</v>
      </c>
      <c r="U6" s="169"/>
      <c r="V6" s="94"/>
    </row>
    <row r="7" spans="1:22" s="119" customFormat="1" x14ac:dyDescent="0.3">
      <c r="A7" s="408" t="s">
        <v>229</v>
      </c>
      <c r="B7" s="408" t="s">
        <v>229</v>
      </c>
      <c r="C7" s="505" t="s">
        <v>858</v>
      </c>
      <c r="D7" s="507">
        <v>0</v>
      </c>
      <c r="E7" s="486" t="s">
        <v>90</v>
      </c>
      <c r="F7" s="503" t="s">
        <v>911</v>
      </c>
      <c r="G7" s="509" t="s">
        <v>764</v>
      </c>
      <c r="H7" s="194" t="s">
        <v>913</v>
      </c>
      <c r="I7" s="264">
        <v>45539</v>
      </c>
      <c r="J7" s="264"/>
      <c r="K7" s="265">
        <f>1638.6+719.41</f>
        <v>2358.0099999999998</v>
      </c>
      <c r="L7" s="265" t="s">
        <v>74</v>
      </c>
      <c r="M7" s="265">
        <f>K7</f>
        <v>2358.0099999999998</v>
      </c>
      <c r="N7" s="169">
        <v>0</v>
      </c>
      <c r="O7" s="197">
        <v>200</v>
      </c>
      <c r="P7" s="94"/>
      <c r="Q7" s="266"/>
      <c r="R7" s="188"/>
      <c r="S7" s="188"/>
      <c r="T7" s="188"/>
      <c r="U7" s="169"/>
      <c r="V7" s="94"/>
    </row>
    <row r="8" spans="1:22" s="119" customFormat="1" x14ac:dyDescent="0.3">
      <c r="A8" s="409"/>
      <c r="B8" s="409"/>
      <c r="C8" s="506"/>
      <c r="D8" s="508"/>
      <c r="E8" s="488"/>
      <c r="F8" s="504"/>
      <c r="G8" s="400"/>
      <c r="H8" s="194" t="s">
        <v>912</v>
      </c>
      <c r="I8" s="264">
        <v>45542</v>
      </c>
      <c r="J8" s="264"/>
      <c r="K8" s="265">
        <v>1397.63</v>
      </c>
      <c r="L8" s="265" t="s">
        <v>74</v>
      </c>
      <c r="M8" s="265">
        <f>K8</f>
        <v>1397.63</v>
      </c>
      <c r="N8" s="169">
        <v>0</v>
      </c>
      <c r="O8" s="197">
        <v>200</v>
      </c>
      <c r="P8" s="94">
        <v>0</v>
      </c>
      <c r="Q8" s="266">
        <v>0</v>
      </c>
      <c r="R8" s="188">
        <f t="shared" si="0"/>
        <v>0</v>
      </c>
      <c r="S8" s="188">
        <f t="shared" si="1"/>
        <v>1397.63</v>
      </c>
      <c r="T8" s="188">
        <f t="shared" si="2"/>
        <v>1397.63</v>
      </c>
      <c r="U8" s="169"/>
      <c r="V8" s="94"/>
    </row>
    <row r="9" spans="1:22" s="119" customFormat="1" x14ac:dyDescent="0.3">
      <c r="A9" s="408" t="s">
        <v>229</v>
      </c>
      <c r="B9" s="408" t="s">
        <v>229</v>
      </c>
      <c r="C9" s="505" t="s">
        <v>858</v>
      </c>
      <c r="D9" s="507">
        <v>0</v>
      </c>
      <c r="E9" s="486" t="s">
        <v>90</v>
      </c>
      <c r="F9" s="510" t="s">
        <v>916</v>
      </c>
      <c r="G9" s="76" t="s">
        <v>31</v>
      </c>
      <c r="H9" s="194" t="s">
        <v>914</v>
      </c>
      <c r="I9" s="264">
        <v>45551</v>
      </c>
      <c r="J9" s="194"/>
      <c r="K9" s="512">
        <f t="shared" ref="K9:K21" si="3">M9/2</f>
        <v>1559</v>
      </c>
      <c r="L9" s="512">
        <f t="shared" ref="L9:L21" si="4">M9/2</f>
        <v>1559</v>
      </c>
      <c r="M9" s="512">
        <v>3118</v>
      </c>
      <c r="N9" s="479">
        <v>0</v>
      </c>
      <c r="O9" s="197">
        <v>200</v>
      </c>
      <c r="P9" s="94">
        <v>0</v>
      </c>
      <c r="Q9" s="236">
        <v>0</v>
      </c>
      <c r="R9" s="232">
        <f t="shared" si="0"/>
        <v>0</v>
      </c>
      <c r="S9" s="232">
        <f t="shared" si="1"/>
        <v>3118</v>
      </c>
      <c r="T9" s="232">
        <f t="shared" si="2"/>
        <v>3118</v>
      </c>
      <c r="U9" s="479"/>
      <c r="V9" s="94"/>
    </row>
    <row r="10" spans="1:22" s="119" customFormat="1" x14ac:dyDescent="0.3">
      <c r="A10" s="409"/>
      <c r="B10" s="409"/>
      <c r="C10" s="506"/>
      <c r="D10" s="508"/>
      <c r="E10" s="488"/>
      <c r="F10" s="511"/>
      <c r="G10" s="76" t="s">
        <v>31</v>
      </c>
      <c r="H10" s="194" t="s">
        <v>915</v>
      </c>
      <c r="I10" s="264"/>
      <c r="J10" s="264">
        <v>45553</v>
      </c>
      <c r="K10" s="513"/>
      <c r="L10" s="513"/>
      <c r="M10" s="513"/>
      <c r="N10" s="481"/>
      <c r="O10" s="197">
        <v>200</v>
      </c>
      <c r="P10" s="94">
        <v>0</v>
      </c>
      <c r="Q10" s="236">
        <v>0</v>
      </c>
      <c r="R10" s="232">
        <f t="shared" si="0"/>
        <v>0</v>
      </c>
      <c r="S10" s="232">
        <f t="shared" si="1"/>
        <v>0</v>
      </c>
      <c r="T10" s="232">
        <f t="shared" si="2"/>
        <v>0</v>
      </c>
      <c r="U10" s="481"/>
      <c r="V10" s="94"/>
    </row>
    <row r="11" spans="1:22" ht="29" x14ac:dyDescent="0.3">
      <c r="A11" s="262" t="s">
        <v>229</v>
      </c>
      <c r="B11" s="262" t="s">
        <v>229</v>
      </c>
      <c r="C11" s="164" t="s">
        <v>858</v>
      </c>
      <c r="D11" s="247">
        <v>0</v>
      </c>
      <c r="E11" s="175" t="s">
        <v>90</v>
      </c>
      <c r="F11" s="194" t="s">
        <v>917</v>
      </c>
      <c r="G11" s="76" t="s">
        <v>31</v>
      </c>
      <c r="H11" s="169" t="s">
        <v>865</v>
      </c>
      <c r="I11" s="195">
        <v>45557</v>
      </c>
      <c r="J11" s="195">
        <v>45561</v>
      </c>
      <c r="K11" s="205">
        <f>M11/2</f>
        <v>433.05999999999995</v>
      </c>
      <c r="L11" s="205">
        <f>M11/2</f>
        <v>433.05999999999995</v>
      </c>
      <c r="M11" s="265">
        <f>777.8+88.32</f>
        <v>866.11999999999989</v>
      </c>
      <c r="N11" s="169">
        <v>0</v>
      </c>
      <c r="O11" s="197">
        <v>200</v>
      </c>
      <c r="P11" s="94">
        <v>0</v>
      </c>
      <c r="Q11" s="236">
        <v>0</v>
      </c>
      <c r="R11" s="232">
        <f t="shared" si="0"/>
        <v>0</v>
      </c>
      <c r="S11" s="232">
        <f t="shared" si="1"/>
        <v>866.11999999999989</v>
      </c>
      <c r="T11" s="232">
        <f t="shared" si="2"/>
        <v>866.11999999999989</v>
      </c>
      <c r="U11" s="169"/>
      <c r="V11" s="94"/>
    </row>
    <row r="12" spans="1:22" ht="29" x14ac:dyDescent="0.3">
      <c r="A12" s="126" t="s">
        <v>250</v>
      </c>
      <c r="B12" s="215" t="s">
        <v>902</v>
      </c>
      <c r="C12" s="276" t="s">
        <v>918</v>
      </c>
      <c r="D12" s="267">
        <v>386</v>
      </c>
      <c r="E12" s="268" t="s">
        <v>948</v>
      </c>
      <c r="F12" s="169" t="s">
        <v>917</v>
      </c>
      <c r="G12" s="215" t="s">
        <v>31</v>
      </c>
      <c r="H12" s="169" t="s">
        <v>865</v>
      </c>
      <c r="I12" s="195">
        <v>45557</v>
      </c>
      <c r="J12" s="195">
        <v>45561</v>
      </c>
      <c r="K12" s="205">
        <f t="shared" si="3"/>
        <v>628</v>
      </c>
      <c r="L12" s="205">
        <f t="shared" si="4"/>
        <v>628</v>
      </c>
      <c r="M12" s="280">
        <v>1256</v>
      </c>
      <c r="N12" s="174">
        <f>(J12-I12)+1</f>
        <v>5</v>
      </c>
      <c r="O12" s="235">
        <v>200</v>
      </c>
      <c r="P12" s="94">
        <v>0</v>
      </c>
      <c r="Q12" s="236">
        <v>0</v>
      </c>
      <c r="R12" s="232">
        <f>N12*O12</f>
        <v>1000</v>
      </c>
      <c r="S12" s="233">
        <f>M12+R12</f>
        <v>2256</v>
      </c>
      <c r="T12" s="232">
        <f t="shared" si="2"/>
        <v>2256</v>
      </c>
      <c r="U12" s="169" t="s">
        <v>947</v>
      </c>
      <c r="V12" s="94"/>
    </row>
    <row r="13" spans="1:22" x14ac:dyDescent="0.3">
      <c r="A13" s="126" t="s">
        <v>229</v>
      </c>
      <c r="B13" s="126" t="s">
        <v>229</v>
      </c>
      <c r="C13" s="194" t="s">
        <v>757</v>
      </c>
      <c r="D13" s="234">
        <v>392</v>
      </c>
      <c r="E13" s="175" t="s">
        <v>798</v>
      </c>
      <c r="F13" s="169" t="s">
        <v>917</v>
      </c>
      <c r="G13" s="215" t="s">
        <v>31</v>
      </c>
      <c r="H13" s="169" t="s">
        <v>865</v>
      </c>
      <c r="I13" s="195">
        <v>45557</v>
      </c>
      <c r="J13" s="195">
        <v>45561</v>
      </c>
      <c r="K13" s="205">
        <f t="shared" ref="K13" si="5">M13/2</f>
        <v>628.1</v>
      </c>
      <c r="L13" s="205">
        <f t="shared" ref="L13" si="6">M13/2</f>
        <v>628.1</v>
      </c>
      <c r="M13" s="280">
        <v>1256.2</v>
      </c>
      <c r="N13" s="174">
        <f>(J13-I13)+1</f>
        <v>5</v>
      </c>
      <c r="O13" s="235">
        <v>200</v>
      </c>
      <c r="P13" s="94">
        <v>0</v>
      </c>
      <c r="Q13" s="236">
        <v>0</v>
      </c>
      <c r="R13" s="232">
        <f t="shared" si="0"/>
        <v>1000</v>
      </c>
      <c r="S13" s="232">
        <f t="shared" si="1"/>
        <v>2256.1999999999998</v>
      </c>
      <c r="T13" s="232">
        <f t="shared" si="2"/>
        <v>2256.1999999999998</v>
      </c>
      <c r="U13" s="169"/>
      <c r="V13" s="94"/>
    </row>
    <row r="14" spans="1:22" ht="58" x14ac:dyDescent="0.3">
      <c r="A14" s="262" t="s">
        <v>229</v>
      </c>
      <c r="B14" s="262" t="s">
        <v>229</v>
      </c>
      <c r="C14" s="164" t="s">
        <v>858</v>
      </c>
      <c r="D14" s="247">
        <v>0</v>
      </c>
      <c r="E14" s="175" t="s">
        <v>90</v>
      </c>
      <c r="F14" s="175" t="s">
        <v>919</v>
      </c>
      <c r="G14" s="76" t="s">
        <v>31</v>
      </c>
      <c r="H14" s="169" t="s">
        <v>920</v>
      </c>
      <c r="I14" s="195">
        <v>45545</v>
      </c>
      <c r="J14" s="195">
        <v>45546</v>
      </c>
      <c r="K14" s="205">
        <f>1891.02+56.22</f>
        <v>1947.24</v>
      </c>
      <c r="L14" s="205">
        <f>1921.95+30.95</f>
        <v>1952.9</v>
      </c>
      <c r="M14" s="280">
        <f>K14+L14</f>
        <v>3900.1400000000003</v>
      </c>
      <c r="N14" s="169">
        <v>0</v>
      </c>
      <c r="O14" s="235">
        <v>200</v>
      </c>
      <c r="P14" s="94">
        <v>0</v>
      </c>
      <c r="Q14" s="236">
        <v>0</v>
      </c>
      <c r="R14" s="232">
        <f t="shared" si="0"/>
        <v>0</v>
      </c>
      <c r="S14" s="232">
        <f t="shared" si="1"/>
        <v>3900.1400000000003</v>
      </c>
      <c r="T14" s="232">
        <f t="shared" si="2"/>
        <v>3900.1400000000003</v>
      </c>
      <c r="U14" s="169"/>
      <c r="V14" s="94"/>
    </row>
    <row r="15" spans="1:22" ht="58" x14ac:dyDescent="0.3">
      <c r="A15" s="126" t="s">
        <v>229</v>
      </c>
      <c r="B15" s="271" t="s">
        <v>952</v>
      </c>
      <c r="C15" s="169" t="s">
        <v>921</v>
      </c>
      <c r="D15" s="94">
        <v>383</v>
      </c>
      <c r="E15" s="175" t="s">
        <v>945</v>
      </c>
      <c r="F15" s="175" t="s">
        <v>919</v>
      </c>
      <c r="G15" s="76" t="s">
        <v>31</v>
      </c>
      <c r="H15" s="169" t="s">
        <v>920</v>
      </c>
      <c r="I15" s="195">
        <v>45545</v>
      </c>
      <c r="J15" s="195">
        <v>45546</v>
      </c>
      <c r="K15" s="196">
        <f>1489.9+56.22</f>
        <v>1546.1200000000001</v>
      </c>
      <c r="L15" s="196">
        <f>1570.48+30.95</f>
        <v>1601.43</v>
      </c>
      <c r="M15" s="280">
        <f>K15+L15</f>
        <v>3147.55</v>
      </c>
      <c r="N15" s="169">
        <f t="shared" ref="N15:N21" si="7">(J15-I15)+1</f>
        <v>2</v>
      </c>
      <c r="O15" s="200">
        <v>200</v>
      </c>
      <c r="P15" s="94">
        <v>0</v>
      </c>
      <c r="Q15" s="170">
        <v>0</v>
      </c>
      <c r="R15" s="171">
        <f t="shared" si="0"/>
        <v>400</v>
      </c>
      <c r="S15" s="171">
        <f t="shared" si="1"/>
        <v>3547.55</v>
      </c>
      <c r="T15" s="171">
        <f t="shared" si="2"/>
        <v>3547.55</v>
      </c>
      <c r="U15" s="169"/>
      <c r="V15" s="94"/>
    </row>
    <row r="16" spans="1:22" ht="58" x14ac:dyDescent="0.3">
      <c r="A16" s="126" t="s">
        <v>229</v>
      </c>
      <c r="B16" s="126" t="s">
        <v>229</v>
      </c>
      <c r="C16" s="194" t="s">
        <v>757</v>
      </c>
      <c r="D16" s="234">
        <v>392</v>
      </c>
      <c r="E16" s="175" t="s">
        <v>798</v>
      </c>
      <c r="F16" s="175" t="s">
        <v>919</v>
      </c>
      <c r="G16" s="76" t="s">
        <v>31</v>
      </c>
      <c r="H16" s="169" t="s">
        <v>920</v>
      </c>
      <c r="I16" s="195">
        <v>45545</v>
      </c>
      <c r="J16" s="195">
        <v>45546</v>
      </c>
      <c r="K16" s="196">
        <f>1891.02+56.22</f>
        <v>1947.24</v>
      </c>
      <c r="L16" s="196">
        <f>1921.95+30.95</f>
        <v>1952.9</v>
      </c>
      <c r="M16" s="280">
        <f>+K16+L16</f>
        <v>3900.1400000000003</v>
      </c>
      <c r="N16" s="169">
        <f t="shared" si="7"/>
        <v>2</v>
      </c>
      <c r="O16" s="202">
        <v>200</v>
      </c>
      <c r="P16" s="94">
        <v>0</v>
      </c>
      <c r="Q16" s="170">
        <v>0</v>
      </c>
      <c r="R16" s="159">
        <f t="shared" si="0"/>
        <v>400</v>
      </c>
      <c r="S16" s="171">
        <f t="shared" si="1"/>
        <v>4300.1400000000003</v>
      </c>
      <c r="T16" s="171">
        <f t="shared" si="2"/>
        <v>4300.1400000000003</v>
      </c>
      <c r="U16" s="169"/>
      <c r="V16" s="94"/>
    </row>
    <row r="17" spans="1:22" ht="58" x14ac:dyDescent="0.3">
      <c r="A17" s="154" t="s">
        <v>250</v>
      </c>
      <c r="B17" s="215" t="s">
        <v>901</v>
      </c>
      <c r="C17" s="164" t="s">
        <v>802</v>
      </c>
      <c r="D17" s="217">
        <v>404</v>
      </c>
      <c r="E17" s="175" t="s">
        <v>898</v>
      </c>
      <c r="F17" s="194" t="s">
        <v>917</v>
      </c>
      <c r="G17" s="76" t="s">
        <v>31</v>
      </c>
      <c r="H17" s="169" t="s">
        <v>865</v>
      </c>
      <c r="I17" s="195">
        <v>45559</v>
      </c>
      <c r="J17" s="195">
        <v>45561</v>
      </c>
      <c r="K17" s="196">
        <f>M17/2</f>
        <v>926.99</v>
      </c>
      <c r="L17" s="196">
        <f t="shared" si="4"/>
        <v>926.99</v>
      </c>
      <c r="M17" s="280">
        <v>1853.98</v>
      </c>
      <c r="N17" s="169">
        <f>(J17-I17)+1</f>
        <v>3</v>
      </c>
      <c r="O17" s="200">
        <v>200</v>
      </c>
      <c r="P17" s="94">
        <v>0</v>
      </c>
      <c r="Q17" s="170">
        <v>0</v>
      </c>
      <c r="R17" s="171">
        <f t="shared" si="0"/>
        <v>600</v>
      </c>
      <c r="S17" s="171">
        <f t="shared" si="1"/>
        <v>2453.98</v>
      </c>
      <c r="T17" s="171">
        <f t="shared" si="2"/>
        <v>2453.98</v>
      </c>
      <c r="U17" s="169"/>
      <c r="V17" s="94"/>
    </row>
    <row r="18" spans="1:22" x14ac:dyDescent="0.3">
      <c r="A18" s="437" t="s">
        <v>250</v>
      </c>
      <c r="B18" s="437" t="s">
        <v>250</v>
      </c>
      <c r="C18" s="499" t="s">
        <v>378</v>
      </c>
      <c r="D18" s="501">
        <v>0</v>
      </c>
      <c r="E18" s="486" t="s">
        <v>896</v>
      </c>
      <c r="F18" s="486"/>
      <c r="G18" s="399" t="s">
        <v>31</v>
      </c>
      <c r="H18" s="169" t="s">
        <v>943</v>
      </c>
      <c r="I18" s="195">
        <v>45557</v>
      </c>
      <c r="J18" s="195"/>
      <c r="K18" s="196">
        <v>463.28</v>
      </c>
      <c r="L18" s="196"/>
      <c r="M18" s="280">
        <f>K18</f>
        <v>463.28</v>
      </c>
      <c r="N18" s="479">
        <v>0</v>
      </c>
      <c r="O18" s="200">
        <v>200</v>
      </c>
      <c r="P18" s="94">
        <v>0</v>
      </c>
      <c r="Q18" s="170">
        <v>0</v>
      </c>
      <c r="R18" s="171">
        <f t="shared" ref="R18:R19" si="8">N18*O18+P18*Q18</f>
        <v>0</v>
      </c>
      <c r="S18" s="171">
        <f t="shared" ref="S18:S19" si="9">M18+R18</f>
        <v>463.28</v>
      </c>
      <c r="T18" s="171">
        <f t="shared" ref="T18:T19" si="10">S18</f>
        <v>463.28</v>
      </c>
      <c r="U18" s="169"/>
      <c r="V18" s="94"/>
    </row>
    <row r="19" spans="1:22" x14ac:dyDescent="0.3">
      <c r="A19" s="439"/>
      <c r="B19" s="439"/>
      <c r="C19" s="500"/>
      <c r="D19" s="502"/>
      <c r="E19" s="488"/>
      <c r="F19" s="488"/>
      <c r="G19" s="400"/>
      <c r="H19" s="169" t="s">
        <v>864</v>
      </c>
      <c r="I19" s="195"/>
      <c r="J19" s="195">
        <v>45559</v>
      </c>
      <c r="K19" s="196"/>
      <c r="L19" s="196">
        <v>1113.99</v>
      </c>
      <c r="M19" s="280">
        <f>L19</f>
        <v>1113.99</v>
      </c>
      <c r="N19" s="481"/>
      <c r="O19" s="200">
        <v>200</v>
      </c>
      <c r="P19" s="94">
        <v>0</v>
      </c>
      <c r="Q19" s="170">
        <v>0</v>
      </c>
      <c r="R19" s="171">
        <f t="shared" si="8"/>
        <v>0</v>
      </c>
      <c r="S19" s="171">
        <f t="shared" si="9"/>
        <v>1113.99</v>
      </c>
      <c r="T19" s="171">
        <f t="shared" si="10"/>
        <v>1113.99</v>
      </c>
      <c r="U19" s="169"/>
      <c r="V19" s="94"/>
    </row>
    <row r="20" spans="1:22" ht="29" x14ac:dyDescent="0.3">
      <c r="A20" s="154" t="s">
        <v>250</v>
      </c>
      <c r="B20" s="215" t="s">
        <v>212</v>
      </c>
      <c r="C20" s="164" t="s">
        <v>612</v>
      </c>
      <c r="D20" s="217">
        <v>365</v>
      </c>
      <c r="E20" s="175" t="s">
        <v>52</v>
      </c>
      <c r="F20" s="194" t="s">
        <v>917</v>
      </c>
      <c r="G20" s="76" t="s">
        <v>31</v>
      </c>
      <c r="H20" s="169" t="s">
        <v>865</v>
      </c>
      <c r="I20" s="195">
        <v>45559</v>
      </c>
      <c r="J20" s="195">
        <v>45561</v>
      </c>
      <c r="K20" s="196">
        <f>M20/2</f>
        <v>692.01499999999999</v>
      </c>
      <c r="L20" s="196">
        <f t="shared" si="4"/>
        <v>692.01499999999999</v>
      </c>
      <c r="M20" s="280">
        <v>1384.03</v>
      </c>
      <c r="N20" s="169">
        <f t="shared" ref="N20" si="11">(J20-I20)+1</f>
        <v>3</v>
      </c>
      <c r="O20" s="200">
        <v>200</v>
      </c>
      <c r="P20" s="94">
        <v>0</v>
      </c>
      <c r="Q20" s="170">
        <v>0</v>
      </c>
      <c r="R20" s="171">
        <f t="shared" ref="R20" si="12">N20*O20+P20*Q20</f>
        <v>600</v>
      </c>
      <c r="S20" s="171">
        <f t="shared" ref="S20" si="13">M20+R20</f>
        <v>1984.03</v>
      </c>
      <c r="T20" s="171">
        <f t="shared" ref="T20" si="14">S20</f>
        <v>1984.03</v>
      </c>
      <c r="U20" s="169"/>
      <c r="V20" s="94"/>
    </row>
    <row r="21" spans="1:22" ht="43.5" x14ac:dyDescent="0.3">
      <c r="A21" s="126" t="s">
        <v>250</v>
      </c>
      <c r="B21" s="215" t="s">
        <v>922</v>
      </c>
      <c r="C21" s="169" t="s">
        <v>323</v>
      </c>
      <c r="D21" s="94">
        <v>87</v>
      </c>
      <c r="E21" s="175" t="s">
        <v>906</v>
      </c>
      <c r="F21" s="194" t="s">
        <v>917</v>
      </c>
      <c r="G21" s="76" t="s">
        <v>31</v>
      </c>
      <c r="H21" s="169" t="s">
        <v>865</v>
      </c>
      <c r="I21" s="195">
        <v>45559</v>
      </c>
      <c r="J21" s="195">
        <v>45561</v>
      </c>
      <c r="K21" s="196">
        <f t="shared" si="3"/>
        <v>692.01499999999999</v>
      </c>
      <c r="L21" s="196">
        <f t="shared" si="4"/>
        <v>692.01499999999999</v>
      </c>
      <c r="M21" s="280">
        <v>1384.03</v>
      </c>
      <c r="N21" s="169">
        <f t="shared" si="7"/>
        <v>3</v>
      </c>
      <c r="O21" s="200">
        <v>200</v>
      </c>
      <c r="P21" s="94">
        <v>0</v>
      </c>
      <c r="Q21" s="170">
        <v>0</v>
      </c>
      <c r="R21" s="171">
        <f>N21*O21+P21*Q21</f>
        <v>600</v>
      </c>
      <c r="S21" s="171">
        <f t="shared" si="1"/>
        <v>1984.03</v>
      </c>
      <c r="T21" s="171">
        <f t="shared" si="2"/>
        <v>1984.03</v>
      </c>
      <c r="U21" s="169"/>
      <c r="V21" s="94"/>
    </row>
    <row r="22" spans="1:22" s="167" customFormat="1" ht="29" x14ac:dyDescent="0.3">
      <c r="A22" s="126" t="s">
        <v>250</v>
      </c>
      <c r="B22" s="215" t="s">
        <v>925</v>
      </c>
      <c r="C22" s="169" t="s">
        <v>923</v>
      </c>
      <c r="D22" s="94">
        <v>314</v>
      </c>
      <c r="E22" s="216" t="s">
        <v>926</v>
      </c>
      <c r="F22" s="175" t="s">
        <v>951</v>
      </c>
      <c r="G22" s="76" t="s">
        <v>31</v>
      </c>
      <c r="H22" s="169" t="s">
        <v>860</v>
      </c>
      <c r="I22" s="195">
        <v>45565</v>
      </c>
      <c r="J22" s="195">
        <v>45567</v>
      </c>
      <c r="K22" s="205">
        <f>M22/2</f>
        <v>584.88499999999999</v>
      </c>
      <c r="L22" s="205">
        <f>M23/2</f>
        <v>584.88499999999999</v>
      </c>
      <c r="M22" s="265">
        <v>1169.77</v>
      </c>
      <c r="N22" s="194">
        <f>(J22-I22)+1</f>
        <v>3</v>
      </c>
      <c r="O22" s="283">
        <v>120</v>
      </c>
      <c r="P22" s="94">
        <v>0</v>
      </c>
      <c r="Q22" s="170">
        <v>0</v>
      </c>
      <c r="R22" s="193">
        <f>N22*O22</f>
        <v>360</v>
      </c>
      <c r="S22" s="187">
        <f>M22+R22</f>
        <v>1529.77</v>
      </c>
      <c r="T22" s="188">
        <f t="shared" si="2"/>
        <v>1529.77</v>
      </c>
      <c r="U22" s="169"/>
      <c r="V22" s="94"/>
    </row>
    <row r="23" spans="1:22" ht="29" x14ac:dyDescent="0.3">
      <c r="A23" s="126" t="s">
        <v>250</v>
      </c>
      <c r="B23" s="215" t="s">
        <v>925</v>
      </c>
      <c r="C23" s="169" t="s">
        <v>924</v>
      </c>
      <c r="D23" s="94">
        <v>119</v>
      </c>
      <c r="E23" s="216" t="s">
        <v>927</v>
      </c>
      <c r="F23" s="175" t="s">
        <v>951</v>
      </c>
      <c r="G23" s="76" t="s">
        <v>31</v>
      </c>
      <c r="H23" s="169" t="s">
        <v>860</v>
      </c>
      <c r="I23" s="195">
        <v>45565</v>
      </c>
      <c r="J23" s="195">
        <v>45567</v>
      </c>
      <c r="K23" s="205">
        <f t="shared" ref="K23" si="15">M23/2</f>
        <v>584.88499999999999</v>
      </c>
      <c r="L23" s="205">
        <f>M23/2</f>
        <v>584.88499999999999</v>
      </c>
      <c r="M23" s="280">
        <v>1169.77</v>
      </c>
      <c r="N23" s="194">
        <f t="shared" ref="N23" si="16">(J23-I23)+1</f>
        <v>3</v>
      </c>
      <c r="O23" s="284">
        <v>120</v>
      </c>
      <c r="P23" s="94">
        <v>0</v>
      </c>
      <c r="Q23" s="236">
        <v>0</v>
      </c>
      <c r="R23" s="232">
        <f>N23*O23+P23*Q23</f>
        <v>360</v>
      </c>
      <c r="S23" s="232">
        <f>M23+R23</f>
        <v>1529.77</v>
      </c>
      <c r="T23" s="232">
        <f>S23</f>
        <v>1529.77</v>
      </c>
      <c r="U23" s="169"/>
      <c r="V23" s="94"/>
    </row>
    <row r="24" spans="1:22" ht="29" x14ac:dyDescent="0.35">
      <c r="A24" s="169" t="s">
        <v>279</v>
      </c>
      <c r="B24" s="169" t="s">
        <v>944</v>
      </c>
      <c r="C24" s="169" t="s">
        <v>42</v>
      </c>
      <c r="D24" s="94">
        <v>232</v>
      </c>
      <c r="E24" s="175" t="s">
        <v>946</v>
      </c>
      <c r="F24" s="175" t="s">
        <v>958</v>
      </c>
      <c r="G24" s="76" t="s">
        <v>31</v>
      </c>
      <c r="H24" s="169" t="s">
        <v>865</v>
      </c>
      <c r="I24" s="195">
        <v>45552</v>
      </c>
      <c r="J24" s="195">
        <v>45554</v>
      </c>
      <c r="K24" s="201">
        <f>M24/2</f>
        <v>507.66499999999996</v>
      </c>
      <c r="L24" s="201">
        <f>M24/2</f>
        <v>507.66499999999996</v>
      </c>
      <c r="M24" s="280">
        <f>927.01+88.32</f>
        <v>1015.3299999999999</v>
      </c>
      <c r="N24" s="194">
        <f>(J24-I24)+1</f>
        <v>3</v>
      </c>
      <c r="O24" s="281">
        <v>200</v>
      </c>
      <c r="P24" s="94">
        <v>0</v>
      </c>
      <c r="Q24" s="130">
        <v>0</v>
      </c>
      <c r="R24" s="70">
        <f t="shared" ref="R24:R26" si="17">N24*O24+P24*Q24</f>
        <v>600</v>
      </c>
      <c r="S24" s="70">
        <f t="shared" ref="S24" si="18">M24+R24</f>
        <v>1615.33</v>
      </c>
      <c r="T24" s="70">
        <f t="shared" ref="T24" si="19">S24</f>
        <v>1615.33</v>
      </c>
      <c r="U24" s="168"/>
      <c r="V24" s="44"/>
    </row>
    <row r="25" spans="1:22" ht="29" x14ac:dyDescent="0.35">
      <c r="A25" s="169" t="s">
        <v>279</v>
      </c>
      <c r="B25" s="169" t="s">
        <v>944</v>
      </c>
      <c r="C25" s="169" t="s">
        <v>953</v>
      </c>
      <c r="D25" s="94">
        <v>416</v>
      </c>
      <c r="E25" s="175" t="s">
        <v>954</v>
      </c>
      <c r="F25" s="221" t="s">
        <v>958</v>
      </c>
      <c r="G25" s="76" t="s">
        <v>31</v>
      </c>
      <c r="H25" s="169" t="s">
        <v>865</v>
      </c>
      <c r="I25" s="195">
        <v>45552</v>
      </c>
      <c r="J25" s="195">
        <v>45554</v>
      </c>
      <c r="K25" s="201">
        <f>M25/2</f>
        <v>1139.5250000000001</v>
      </c>
      <c r="L25" s="201">
        <f>M25/2</f>
        <v>1139.5250000000001</v>
      </c>
      <c r="M25" s="280">
        <f>2190.73+88.32</f>
        <v>2279.0500000000002</v>
      </c>
      <c r="N25" s="194">
        <f t="shared" ref="N25:N26" si="20">(J25-I25)+1</f>
        <v>3</v>
      </c>
      <c r="O25" s="281">
        <v>200</v>
      </c>
      <c r="P25" s="94">
        <v>0</v>
      </c>
      <c r="Q25" s="130">
        <v>0</v>
      </c>
      <c r="R25" s="70">
        <f t="shared" si="17"/>
        <v>600</v>
      </c>
      <c r="S25" s="70">
        <f t="shared" ref="S25:S26" si="21">M25+R25</f>
        <v>2879.05</v>
      </c>
      <c r="T25" s="70">
        <f t="shared" ref="T25:T26" si="22">S25</f>
        <v>2879.05</v>
      </c>
      <c r="U25" s="168"/>
      <c r="V25" s="44"/>
    </row>
    <row r="26" spans="1:22" x14ac:dyDescent="0.35">
      <c r="A26" s="169" t="s">
        <v>279</v>
      </c>
      <c r="B26" s="275" t="s">
        <v>957</v>
      </c>
      <c r="C26" s="169" t="s">
        <v>956</v>
      </c>
      <c r="D26" s="94">
        <v>384</v>
      </c>
      <c r="E26" s="175" t="s">
        <v>778</v>
      </c>
      <c r="F26" s="169"/>
      <c r="G26" s="76" t="s">
        <v>31</v>
      </c>
      <c r="H26" s="169" t="s">
        <v>860</v>
      </c>
      <c r="I26" s="195">
        <v>45557</v>
      </c>
      <c r="J26" s="195">
        <v>45560</v>
      </c>
      <c r="K26" s="201">
        <f>1638.21+56.22</f>
        <v>1694.43</v>
      </c>
      <c r="L26" s="201">
        <f>1076.54+57.87</f>
        <v>1134.4099999999999</v>
      </c>
      <c r="M26" s="280">
        <f>K26+L26</f>
        <v>2828.84</v>
      </c>
      <c r="N26" s="194">
        <f t="shared" si="20"/>
        <v>4</v>
      </c>
      <c r="O26" s="281">
        <v>200</v>
      </c>
      <c r="P26" s="94">
        <v>0</v>
      </c>
      <c r="Q26" s="130">
        <v>0</v>
      </c>
      <c r="R26" s="70">
        <f t="shared" si="17"/>
        <v>800</v>
      </c>
      <c r="S26" s="70">
        <f t="shared" si="21"/>
        <v>3628.84</v>
      </c>
      <c r="T26" s="70">
        <f t="shared" si="22"/>
        <v>3628.84</v>
      </c>
      <c r="U26" s="168"/>
      <c r="V26" s="44"/>
    </row>
    <row r="27" spans="1:22" s="263" customFormat="1" ht="15" customHeight="1" x14ac:dyDescent="0.3">
      <c r="A27" s="169"/>
      <c r="N27" s="269"/>
    </row>
    <row r="28" spans="1:22" s="263" customFormat="1" ht="15" customHeight="1" x14ac:dyDescent="0.3">
      <c r="M28" s="278">
        <f>SUM(M5:M27)</f>
        <v>40320.14</v>
      </c>
      <c r="N28" s="269"/>
      <c r="R28" s="282">
        <f>SUM(R5:R26)</f>
        <v>7320</v>
      </c>
      <c r="T28" s="282">
        <f>SUM(T5:T26)</f>
        <v>45282.12999999999</v>
      </c>
    </row>
    <row r="29" spans="1:22" s="263" customFormat="1" ht="15" customHeight="1" x14ac:dyDescent="0.3">
      <c r="N29" s="269"/>
    </row>
    <row r="30" spans="1:22" s="263" customFormat="1" ht="15" customHeight="1" x14ac:dyDescent="0.3">
      <c r="N30" s="269"/>
    </row>
    <row r="31" spans="1:22" s="263" customFormat="1" ht="15" customHeight="1" x14ac:dyDescent="0.3">
      <c r="N31" s="269"/>
    </row>
  </sheetData>
  <mergeCells count="51">
    <mergeCell ref="U9:U10"/>
    <mergeCell ref="G7:G8"/>
    <mergeCell ref="F9:F10"/>
    <mergeCell ref="K9:K10"/>
    <mergeCell ref="L9:L10"/>
    <mergeCell ref="M9:M10"/>
    <mergeCell ref="A7:A8"/>
    <mergeCell ref="A9:A10"/>
    <mergeCell ref="B9:B10"/>
    <mergeCell ref="C9:C10"/>
    <mergeCell ref="D9:D10"/>
    <mergeCell ref="B7:B8"/>
    <mergeCell ref="C7:C8"/>
    <mergeCell ref="D7:D8"/>
    <mergeCell ref="R3:R4"/>
    <mergeCell ref="S3:S4"/>
    <mergeCell ref="E9:E10"/>
    <mergeCell ref="N9:N10"/>
    <mergeCell ref="I3:I4"/>
    <mergeCell ref="J3:J4"/>
    <mergeCell ref="K3:K4"/>
    <mergeCell ref="L3:L4"/>
    <mergeCell ref="M3:M4"/>
    <mergeCell ref="N3:O3"/>
    <mergeCell ref="H3:H4"/>
    <mergeCell ref="E7:E8"/>
    <mergeCell ref="F7:F8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P3:Q3"/>
    <mergeCell ref="A18:A19"/>
    <mergeCell ref="B18:B19"/>
    <mergeCell ref="N18:N19"/>
    <mergeCell ref="C18:C19"/>
    <mergeCell ref="D18:D19"/>
    <mergeCell ref="E18:E19"/>
    <mergeCell ref="F18:F19"/>
    <mergeCell ref="G18:G19"/>
  </mergeCells>
  <phoneticPr fontId="74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88182-8A0E-4D8D-BA1B-5EB6090EB01C}">
  <dimension ref="A1:V29"/>
  <sheetViews>
    <sheetView showGridLines="0" topLeftCell="B1" zoomScale="90" zoomScaleNormal="90" workbookViewId="0">
      <selection activeCell="B17" sqref="B17"/>
    </sheetView>
  </sheetViews>
  <sheetFormatPr defaultRowHeight="14.5" x14ac:dyDescent="0.35"/>
  <cols>
    <col min="1" max="1" width="38.5" bestFit="1" customWidth="1"/>
    <col min="2" max="2" width="48.33203125" bestFit="1" customWidth="1"/>
    <col min="3" max="3" width="45.08203125" style="165" bestFit="1" customWidth="1"/>
    <col min="4" max="4" width="12.5" customWidth="1"/>
    <col min="5" max="5" width="15" style="221" customWidth="1"/>
    <col min="6" max="6" width="32" style="166" customWidth="1"/>
    <col min="7" max="7" width="13.83203125" bestFit="1" customWidth="1"/>
    <col min="8" max="8" width="37.83203125" style="165" bestFit="1" customWidth="1"/>
    <col min="9" max="9" width="11.5" style="165" bestFit="1" customWidth="1"/>
    <col min="10" max="10" width="9.83203125" style="165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</row>
    <row r="2" spans="1:22" x14ac:dyDescent="0.35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94"/>
      <c r="J2" s="394"/>
      <c r="K2" s="442" t="s">
        <v>7</v>
      </c>
      <c r="L2" s="442"/>
      <c r="M2" s="442"/>
      <c r="N2" s="337" t="s">
        <v>1</v>
      </c>
      <c r="O2" s="337"/>
      <c r="P2" s="337"/>
      <c r="Q2" s="337"/>
      <c r="R2" s="337"/>
      <c r="S2" s="337"/>
      <c r="T2" s="337" t="s">
        <v>8</v>
      </c>
      <c r="U2" s="443" t="s">
        <v>9</v>
      </c>
    </row>
    <row r="3" spans="1:22" s="167" customFormat="1" x14ac:dyDescent="0.3">
      <c r="A3" s="445" t="s">
        <v>10</v>
      </c>
      <c r="B3" s="445" t="s">
        <v>11</v>
      </c>
      <c r="C3" s="447" t="s">
        <v>12</v>
      </c>
      <c r="D3" s="445" t="s">
        <v>13</v>
      </c>
      <c r="E3" s="449" t="s">
        <v>14</v>
      </c>
      <c r="F3" s="447" t="s">
        <v>15</v>
      </c>
      <c r="G3" s="445" t="s">
        <v>16</v>
      </c>
      <c r="H3" s="458" t="s">
        <v>859</v>
      </c>
      <c r="I3" s="461" t="s">
        <v>19</v>
      </c>
      <c r="J3" s="461" t="s">
        <v>20</v>
      </c>
      <c r="K3" s="463" t="s">
        <v>21</v>
      </c>
      <c r="L3" s="465" t="s">
        <v>22</v>
      </c>
      <c r="M3" s="467" t="s">
        <v>23</v>
      </c>
      <c r="N3" s="467" t="s">
        <v>24</v>
      </c>
      <c r="O3" s="467"/>
      <c r="P3" s="453" t="s">
        <v>25</v>
      </c>
      <c r="Q3" s="453"/>
      <c r="R3" s="445" t="s">
        <v>26</v>
      </c>
      <c r="S3" s="453" t="s">
        <v>23</v>
      </c>
      <c r="T3" s="337"/>
      <c r="U3" s="443"/>
    </row>
    <row r="4" spans="1:22" s="167" customFormat="1" x14ac:dyDescent="0.3">
      <c r="A4" s="446"/>
      <c r="B4" s="446"/>
      <c r="C4" s="448"/>
      <c r="D4" s="446"/>
      <c r="E4" s="450"/>
      <c r="F4" s="448"/>
      <c r="G4" s="446"/>
      <c r="H4" s="459"/>
      <c r="I4" s="462"/>
      <c r="J4" s="462"/>
      <c r="K4" s="464"/>
      <c r="L4" s="466"/>
      <c r="M4" s="468"/>
      <c r="N4" s="209" t="s">
        <v>2</v>
      </c>
      <c r="O4" s="210" t="s">
        <v>30</v>
      </c>
      <c r="P4" s="211" t="s">
        <v>2</v>
      </c>
      <c r="Q4" s="212" t="s">
        <v>30</v>
      </c>
      <c r="R4" s="446"/>
      <c r="S4" s="460"/>
      <c r="T4" s="394"/>
      <c r="U4" s="444"/>
    </row>
    <row r="5" spans="1:22" s="119" customFormat="1" x14ac:dyDescent="0.3">
      <c r="A5" s="285" t="s">
        <v>229</v>
      </c>
      <c r="B5" s="285" t="s">
        <v>960</v>
      </c>
      <c r="C5" s="164" t="s">
        <v>959</v>
      </c>
      <c r="D5" s="217">
        <v>56</v>
      </c>
      <c r="E5" s="175" t="s">
        <v>961</v>
      </c>
      <c r="F5" s="191" t="s">
        <v>962</v>
      </c>
      <c r="G5" s="76" t="s">
        <v>31</v>
      </c>
      <c r="H5" s="169" t="s">
        <v>865</v>
      </c>
      <c r="I5" s="195">
        <v>45566</v>
      </c>
      <c r="J5" s="264">
        <v>45568</v>
      </c>
      <c r="K5" s="279">
        <f>M5/2</f>
        <v>1038.835</v>
      </c>
      <c r="L5" s="279">
        <f>M5/2</f>
        <v>1038.835</v>
      </c>
      <c r="M5" s="279">
        <f>1989.35+88.32</f>
        <v>2077.67</v>
      </c>
      <c r="N5" s="194">
        <f>(J5-I5)+1</f>
        <v>3</v>
      </c>
      <c r="O5" s="281">
        <v>200</v>
      </c>
      <c r="P5" s="293">
        <v>0</v>
      </c>
      <c r="Q5" s="130">
        <v>0</v>
      </c>
      <c r="R5" s="290">
        <f t="shared" ref="R5:R10" si="0">N5*O5+P5*Q5</f>
        <v>600</v>
      </c>
      <c r="S5" s="70">
        <f t="shared" ref="S5:S12" si="1">M5+R5</f>
        <v>2677.67</v>
      </c>
      <c r="T5" s="70">
        <f t="shared" ref="T5:T12" si="2">S5</f>
        <v>2677.67</v>
      </c>
      <c r="U5" s="169"/>
      <c r="V5" s="94"/>
    </row>
    <row r="6" spans="1:22" ht="29" x14ac:dyDescent="0.3">
      <c r="A6" s="262" t="s">
        <v>229</v>
      </c>
      <c r="B6" s="262" t="s">
        <v>229</v>
      </c>
      <c r="C6" s="164" t="s">
        <v>858</v>
      </c>
      <c r="D6" s="247">
        <v>0</v>
      </c>
      <c r="E6" s="175" t="s">
        <v>90</v>
      </c>
      <c r="F6" s="191" t="s">
        <v>962</v>
      </c>
      <c r="G6" s="76" t="s">
        <v>31</v>
      </c>
      <c r="H6" s="169" t="s">
        <v>865</v>
      </c>
      <c r="I6" s="195">
        <v>45566</v>
      </c>
      <c r="J6" s="264">
        <v>45568</v>
      </c>
      <c r="K6" s="265">
        <f>M6/2</f>
        <v>1322.6000000000001</v>
      </c>
      <c r="L6" s="265">
        <f>M6/2</f>
        <v>1322.6000000000001</v>
      </c>
      <c r="M6" s="265">
        <f>2556.88+88.32</f>
        <v>2645.2000000000003</v>
      </c>
      <c r="N6" s="194">
        <v>0</v>
      </c>
      <c r="O6" s="281">
        <v>200</v>
      </c>
      <c r="P6" s="293">
        <v>0</v>
      </c>
      <c r="Q6" s="236">
        <v>0</v>
      </c>
      <c r="R6" s="291">
        <f t="shared" si="0"/>
        <v>0</v>
      </c>
      <c r="S6" s="232">
        <f t="shared" si="1"/>
        <v>2645.2000000000003</v>
      </c>
      <c r="T6" s="232">
        <f t="shared" si="2"/>
        <v>2645.2000000000003</v>
      </c>
      <c r="U6" s="169"/>
      <c r="V6" s="94"/>
    </row>
    <row r="7" spans="1:22" x14ac:dyDescent="0.3">
      <c r="A7" s="169" t="s">
        <v>279</v>
      </c>
      <c r="B7" s="275" t="s">
        <v>957</v>
      </c>
      <c r="C7" s="169" t="s">
        <v>956</v>
      </c>
      <c r="D7" s="94">
        <v>384</v>
      </c>
      <c r="E7" s="175" t="s">
        <v>778</v>
      </c>
      <c r="F7" s="169" t="s">
        <v>963</v>
      </c>
      <c r="G7" s="215" t="s">
        <v>31</v>
      </c>
      <c r="H7" s="169" t="s">
        <v>860</v>
      </c>
      <c r="I7" s="195">
        <v>45566</v>
      </c>
      <c r="J7" s="264">
        <v>45569</v>
      </c>
      <c r="K7" s="265">
        <f>1227.14+56.22</f>
        <v>1283.3600000000001</v>
      </c>
      <c r="L7" s="265">
        <f>906.41+57.87</f>
        <v>964.28</v>
      </c>
      <c r="M7" s="280">
        <f>K7+L7</f>
        <v>2247.6400000000003</v>
      </c>
      <c r="N7" s="241">
        <f>(J7-I7)+1</f>
        <v>4</v>
      </c>
      <c r="O7" s="284">
        <v>200</v>
      </c>
      <c r="P7" s="293">
        <v>0</v>
      </c>
      <c r="Q7" s="236">
        <v>0</v>
      </c>
      <c r="R7" s="291">
        <f>N7*O7</f>
        <v>800</v>
      </c>
      <c r="S7" s="233">
        <f>M7+R7</f>
        <v>3047.6400000000003</v>
      </c>
      <c r="T7" s="232">
        <f t="shared" si="2"/>
        <v>3047.6400000000003</v>
      </c>
      <c r="U7" s="169"/>
      <c r="V7" s="94"/>
    </row>
    <row r="8" spans="1:22" ht="29" x14ac:dyDescent="0.3">
      <c r="A8" s="169" t="s">
        <v>279</v>
      </c>
      <c r="B8" s="275" t="s">
        <v>957</v>
      </c>
      <c r="C8" s="194" t="s">
        <v>964</v>
      </c>
      <c r="D8" s="234">
        <v>411</v>
      </c>
      <c r="E8" s="175" t="s">
        <v>312</v>
      </c>
      <c r="F8" s="169" t="s">
        <v>963</v>
      </c>
      <c r="G8" s="215" t="s">
        <v>31</v>
      </c>
      <c r="H8" s="169" t="s">
        <v>860</v>
      </c>
      <c r="I8" s="195">
        <v>45566</v>
      </c>
      <c r="J8" s="264">
        <v>45571</v>
      </c>
      <c r="K8" s="265">
        <f>1227.14+56.22</f>
        <v>1283.3600000000001</v>
      </c>
      <c r="L8" s="265">
        <f>906.41+57.87</f>
        <v>964.28</v>
      </c>
      <c r="M8" s="280">
        <f>K8+L8</f>
        <v>2247.6400000000003</v>
      </c>
      <c r="N8" s="241">
        <v>4</v>
      </c>
      <c r="O8" s="284">
        <v>200</v>
      </c>
      <c r="P8" s="293">
        <v>0</v>
      </c>
      <c r="Q8" s="236">
        <v>0</v>
      </c>
      <c r="R8" s="291">
        <f>N8*O8+P8*Q8</f>
        <v>800</v>
      </c>
      <c r="S8" s="232">
        <f t="shared" si="1"/>
        <v>3047.6400000000003</v>
      </c>
      <c r="T8" s="232">
        <f t="shared" si="2"/>
        <v>3047.6400000000003</v>
      </c>
      <c r="U8" s="169"/>
      <c r="V8" s="94"/>
    </row>
    <row r="9" spans="1:22" x14ac:dyDescent="0.3">
      <c r="A9" s="272" t="s">
        <v>250</v>
      </c>
      <c r="B9" s="272" t="s">
        <v>250</v>
      </c>
      <c r="C9" s="277" t="s">
        <v>378</v>
      </c>
      <c r="D9" s="273">
        <v>0</v>
      </c>
      <c r="E9" s="218" t="s">
        <v>896</v>
      </c>
      <c r="F9" s="218" t="s">
        <v>966</v>
      </c>
      <c r="G9" s="286" t="s">
        <v>764</v>
      </c>
      <c r="H9" s="173" t="s">
        <v>965</v>
      </c>
      <c r="I9" s="195">
        <v>45583</v>
      </c>
      <c r="J9" s="264">
        <v>45591</v>
      </c>
      <c r="K9" s="279">
        <f>M9/2</f>
        <v>2398.75</v>
      </c>
      <c r="L9" s="279">
        <f>M9/2</f>
        <v>2398.75</v>
      </c>
      <c r="M9" s="280">
        <v>4797.5</v>
      </c>
      <c r="N9" s="194">
        <v>0</v>
      </c>
      <c r="O9" s="294">
        <v>200</v>
      </c>
      <c r="P9" s="293">
        <v>0</v>
      </c>
      <c r="Q9" s="170">
        <v>0</v>
      </c>
      <c r="R9" s="240">
        <f t="shared" si="0"/>
        <v>0</v>
      </c>
      <c r="S9" s="171">
        <f t="shared" si="1"/>
        <v>4797.5</v>
      </c>
      <c r="T9" s="171">
        <f t="shared" si="2"/>
        <v>4797.5</v>
      </c>
      <c r="U9" s="169"/>
      <c r="V9" s="94"/>
    </row>
    <row r="10" spans="1:22" x14ac:dyDescent="0.3">
      <c r="A10" s="169" t="s">
        <v>279</v>
      </c>
      <c r="B10" s="169" t="s">
        <v>279</v>
      </c>
      <c r="C10" s="164" t="s">
        <v>967</v>
      </c>
      <c r="D10" s="217">
        <v>0</v>
      </c>
      <c r="E10" s="175" t="s">
        <v>897</v>
      </c>
      <c r="F10" s="218" t="s">
        <v>966</v>
      </c>
      <c r="G10" s="286" t="s">
        <v>764</v>
      </c>
      <c r="H10" s="173" t="s">
        <v>965</v>
      </c>
      <c r="I10" s="195">
        <v>45583</v>
      </c>
      <c r="J10" s="264">
        <v>45593</v>
      </c>
      <c r="K10" s="279">
        <f>M10/2</f>
        <v>3284.3</v>
      </c>
      <c r="L10" s="279">
        <f t="shared" ref="L10:L12" si="3">M10/2</f>
        <v>3284.3</v>
      </c>
      <c r="M10" s="280">
        <f>4263+2305.6</f>
        <v>6568.6</v>
      </c>
      <c r="N10" s="194">
        <v>0</v>
      </c>
      <c r="O10" s="294">
        <v>200</v>
      </c>
      <c r="P10" s="293">
        <v>0</v>
      </c>
      <c r="Q10" s="170">
        <v>0</v>
      </c>
      <c r="R10" s="240">
        <f t="shared" si="0"/>
        <v>0</v>
      </c>
      <c r="S10" s="171">
        <f t="shared" si="1"/>
        <v>6568.6</v>
      </c>
      <c r="T10" s="171">
        <f t="shared" si="2"/>
        <v>6568.6</v>
      </c>
      <c r="U10" s="169"/>
      <c r="V10" s="94"/>
    </row>
    <row r="11" spans="1:22" x14ac:dyDescent="0.3">
      <c r="A11" s="169" t="s">
        <v>279</v>
      </c>
      <c r="B11" s="169" t="s">
        <v>279</v>
      </c>
      <c r="C11" s="164" t="s">
        <v>967</v>
      </c>
      <c r="D11" s="217">
        <v>0</v>
      </c>
      <c r="E11" s="175" t="s">
        <v>897</v>
      </c>
      <c r="F11" s="218" t="s">
        <v>74</v>
      </c>
      <c r="G11" s="76" t="s">
        <v>31</v>
      </c>
      <c r="H11" s="169" t="s">
        <v>867</v>
      </c>
      <c r="I11" s="195">
        <v>45575</v>
      </c>
      <c r="J11" s="264">
        <v>45580</v>
      </c>
      <c r="K11" s="279">
        <f>M11/2</f>
        <v>900.76499999999999</v>
      </c>
      <c r="L11" s="279">
        <f>M11/2</f>
        <v>900.76499999999999</v>
      </c>
      <c r="M11" s="280">
        <f>1701.04+100.49</f>
        <v>1801.53</v>
      </c>
      <c r="N11" s="194">
        <v>0</v>
      </c>
      <c r="O11" s="294">
        <v>200</v>
      </c>
      <c r="P11" s="293">
        <v>0</v>
      </c>
      <c r="Q11" s="170">
        <v>0</v>
      </c>
      <c r="R11" s="240">
        <f t="shared" ref="R11" si="4">N11*O11+P11*Q11</f>
        <v>0</v>
      </c>
      <c r="S11" s="171">
        <f t="shared" ref="S11" si="5">M11+R11</f>
        <v>1801.53</v>
      </c>
      <c r="T11" s="171">
        <f t="shared" ref="T11" si="6">S11</f>
        <v>1801.53</v>
      </c>
      <c r="U11" s="169"/>
      <c r="V11" s="94"/>
    </row>
    <row r="12" spans="1:22" ht="43.5" x14ac:dyDescent="0.3">
      <c r="A12" s="126" t="s">
        <v>250</v>
      </c>
      <c r="B12" s="262" t="s">
        <v>229</v>
      </c>
      <c r="C12" s="164" t="s">
        <v>858</v>
      </c>
      <c r="D12" s="247">
        <v>0</v>
      </c>
      <c r="E12" s="175" t="s">
        <v>90</v>
      </c>
      <c r="F12" s="191" t="s">
        <v>969</v>
      </c>
      <c r="G12" s="76" t="s">
        <v>31</v>
      </c>
      <c r="H12" s="169" t="s">
        <v>860</v>
      </c>
      <c r="I12" s="195">
        <v>47403</v>
      </c>
      <c r="J12" s="264">
        <v>45584</v>
      </c>
      <c r="K12" s="279">
        <f t="shared" ref="K12" si="7">M12/2</f>
        <v>2587.46</v>
      </c>
      <c r="L12" s="279">
        <f t="shared" si="3"/>
        <v>2587.46</v>
      </c>
      <c r="M12" s="280">
        <f>5087.26+87.66</f>
        <v>5174.92</v>
      </c>
      <c r="N12" s="194">
        <v>0</v>
      </c>
      <c r="O12" s="294">
        <v>200</v>
      </c>
      <c r="P12" s="293">
        <v>0</v>
      </c>
      <c r="Q12" s="170">
        <v>0</v>
      </c>
      <c r="R12" s="240">
        <f>N12*O12+P12*Q12</f>
        <v>0</v>
      </c>
      <c r="S12" s="171">
        <f t="shared" si="1"/>
        <v>5174.92</v>
      </c>
      <c r="T12" s="171">
        <f t="shared" si="2"/>
        <v>5174.92</v>
      </c>
      <c r="U12" s="169"/>
      <c r="V12" s="94"/>
    </row>
    <row r="13" spans="1:22" s="167" customFormat="1" ht="29" x14ac:dyDescent="0.3">
      <c r="A13" s="126" t="s">
        <v>250</v>
      </c>
      <c r="B13" s="169" t="s">
        <v>934</v>
      </c>
      <c r="C13" s="169" t="s">
        <v>986</v>
      </c>
      <c r="D13" s="94">
        <v>130</v>
      </c>
      <c r="E13" s="287" t="s">
        <v>970</v>
      </c>
      <c r="F13" s="175" t="s">
        <v>972</v>
      </c>
      <c r="G13" s="76" t="s">
        <v>31</v>
      </c>
      <c r="H13" s="169" t="s">
        <v>968</v>
      </c>
      <c r="I13" s="195">
        <v>45579</v>
      </c>
      <c r="J13" s="264">
        <v>45582</v>
      </c>
      <c r="K13" s="265">
        <f>$M$13/2</f>
        <v>1321.2249999999999</v>
      </c>
      <c r="L13" s="265">
        <f>$M$13/2</f>
        <v>1321.2249999999999</v>
      </c>
      <c r="M13" s="265">
        <f>2555.91+86.54</f>
        <v>2642.45</v>
      </c>
      <c r="N13" s="241">
        <f>(J13-I13)+1</f>
        <v>4</v>
      </c>
      <c r="O13" s="294">
        <v>200</v>
      </c>
      <c r="P13" s="293">
        <v>0</v>
      </c>
      <c r="Q13" s="170">
        <v>0</v>
      </c>
      <c r="R13" s="240">
        <f t="shared" ref="R13:R23" si="8">N13*O13+P13*Q13</f>
        <v>800</v>
      </c>
      <c r="S13" s="171">
        <f t="shared" ref="S13:S23" si="9">M13+R13</f>
        <v>3442.45</v>
      </c>
      <c r="T13" s="171">
        <f t="shared" ref="T13:T23" si="10">S13</f>
        <v>3442.45</v>
      </c>
      <c r="U13" s="169"/>
      <c r="V13" s="94"/>
    </row>
    <row r="14" spans="1:22" ht="29" x14ac:dyDescent="0.3">
      <c r="A14" s="126" t="s">
        <v>250</v>
      </c>
      <c r="B14" s="215" t="s">
        <v>902</v>
      </c>
      <c r="C14" s="169" t="s">
        <v>985</v>
      </c>
      <c r="D14" s="94">
        <v>277</v>
      </c>
      <c r="E14" s="287" t="s">
        <v>970</v>
      </c>
      <c r="F14" s="175" t="s">
        <v>972</v>
      </c>
      <c r="G14" s="76" t="s">
        <v>31</v>
      </c>
      <c r="H14" s="169" t="s">
        <v>968</v>
      </c>
      <c r="I14" s="195">
        <v>45579</v>
      </c>
      <c r="J14" s="264">
        <v>45582</v>
      </c>
      <c r="K14" s="265">
        <f>$M$13/2</f>
        <v>1321.2249999999999</v>
      </c>
      <c r="L14" s="265">
        <f>$M$13/2</f>
        <v>1321.2249999999999</v>
      </c>
      <c r="M14" s="265">
        <f>2555.91+86.54</f>
        <v>2642.45</v>
      </c>
      <c r="N14" s="241">
        <f>(J14-I14)+1</f>
        <v>4</v>
      </c>
      <c r="O14" s="294">
        <v>200</v>
      </c>
      <c r="P14" s="293">
        <v>0</v>
      </c>
      <c r="Q14" s="170">
        <v>0</v>
      </c>
      <c r="R14" s="240">
        <f t="shared" si="8"/>
        <v>800</v>
      </c>
      <c r="S14" s="171">
        <f t="shared" si="9"/>
        <v>3442.45</v>
      </c>
      <c r="T14" s="171">
        <f t="shared" si="10"/>
        <v>3442.45</v>
      </c>
      <c r="U14" s="169"/>
      <c r="V14" s="94"/>
    </row>
    <row r="15" spans="1:22" ht="29" x14ac:dyDescent="0.35">
      <c r="A15" s="285" t="s">
        <v>229</v>
      </c>
      <c r="B15" s="271" t="s">
        <v>952</v>
      </c>
      <c r="C15" s="169" t="s">
        <v>984</v>
      </c>
      <c r="D15" s="94">
        <v>195</v>
      </c>
      <c r="E15" s="175" t="s">
        <v>971</v>
      </c>
      <c r="F15" s="175" t="s">
        <v>973</v>
      </c>
      <c r="G15" s="285" t="s">
        <v>31</v>
      </c>
      <c r="H15" s="169" t="s">
        <v>860</v>
      </c>
      <c r="I15" s="195">
        <v>45587</v>
      </c>
      <c r="J15" s="264">
        <v>45589</v>
      </c>
      <c r="K15" s="280">
        <f>M15/2</f>
        <v>1454.4450000000002</v>
      </c>
      <c r="L15" s="280">
        <f>M15/2</f>
        <v>1454.4450000000002</v>
      </c>
      <c r="M15" s="280">
        <f>2794.8+114.09</f>
        <v>2908.8900000000003</v>
      </c>
      <c r="N15" s="241">
        <f>(J15-I15)+1</f>
        <v>3</v>
      </c>
      <c r="O15" s="281">
        <v>200</v>
      </c>
      <c r="P15" s="293">
        <v>0</v>
      </c>
      <c r="Q15" s="170">
        <v>0</v>
      </c>
      <c r="R15" s="240">
        <f t="shared" si="8"/>
        <v>600</v>
      </c>
      <c r="S15" s="171">
        <f t="shared" si="9"/>
        <v>3508.8900000000003</v>
      </c>
      <c r="T15" s="171">
        <f t="shared" si="10"/>
        <v>3508.8900000000003</v>
      </c>
      <c r="U15" s="168"/>
      <c r="V15" s="44"/>
    </row>
    <row r="16" spans="1:22" ht="29" x14ac:dyDescent="0.35">
      <c r="A16" s="285" t="s">
        <v>229</v>
      </c>
      <c r="B16" s="271" t="s">
        <v>952</v>
      </c>
      <c r="C16" s="169" t="s">
        <v>983</v>
      </c>
      <c r="D16" s="94">
        <v>72</v>
      </c>
      <c r="E16" s="175" t="s">
        <v>536</v>
      </c>
      <c r="F16" s="221" t="s">
        <v>973</v>
      </c>
      <c r="G16" s="285" t="s">
        <v>31</v>
      </c>
      <c r="H16" s="169" t="s">
        <v>860</v>
      </c>
      <c r="I16" s="195">
        <v>45587</v>
      </c>
      <c r="J16" s="264">
        <v>45589</v>
      </c>
      <c r="K16" s="280">
        <f>M16/2</f>
        <v>1454.4450000000002</v>
      </c>
      <c r="L16" s="280">
        <f>M16/2</f>
        <v>1454.4450000000002</v>
      </c>
      <c r="M16" s="280">
        <f>2794.8+114.09</f>
        <v>2908.8900000000003</v>
      </c>
      <c r="N16" s="241">
        <f t="shared" ref="N16" si="11">(J16-I16)+1</f>
        <v>3</v>
      </c>
      <c r="O16" s="281">
        <v>200</v>
      </c>
      <c r="P16" s="293">
        <v>0</v>
      </c>
      <c r="Q16" s="170">
        <v>0</v>
      </c>
      <c r="R16" s="240">
        <f t="shared" si="8"/>
        <v>600</v>
      </c>
      <c r="S16" s="171">
        <f t="shared" si="9"/>
        <v>3508.8900000000003</v>
      </c>
      <c r="T16" s="171">
        <f t="shared" si="10"/>
        <v>3508.8900000000003</v>
      </c>
      <c r="U16" s="168"/>
      <c r="V16" s="44"/>
    </row>
    <row r="17" spans="1:20" s="263" customFormat="1" ht="15" customHeight="1" x14ac:dyDescent="0.3">
      <c r="A17" s="262" t="s">
        <v>229</v>
      </c>
      <c r="B17" s="262" t="s">
        <v>229</v>
      </c>
      <c r="C17" s="164" t="s">
        <v>858</v>
      </c>
      <c r="D17" s="247">
        <v>0</v>
      </c>
      <c r="E17" s="175" t="s">
        <v>90</v>
      </c>
      <c r="F17" s="191" t="s">
        <v>975</v>
      </c>
      <c r="G17" s="76" t="s">
        <v>31</v>
      </c>
      <c r="H17" s="169" t="s">
        <v>860</v>
      </c>
      <c r="I17" s="288">
        <v>45588</v>
      </c>
      <c r="J17" s="295">
        <v>45589</v>
      </c>
      <c r="K17" s="280">
        <f t="shared" ref="K17:K23" si="12">M17/2</f>
        <v>2995.7</v>
      </c>
      <c r="L17" s="280">
        <f t="shared" ref="L17:L23" si="13">M17/2</f>
        <v>2995.7</v>
      </c>
      <c r="M17" s="280">
        <v>5991.4</v>
      </c>
      <c r="N17" s="241">
        <v>0</v>
      </c>
      <c r="O17" s="281">
        <v>200</v>
      </c>
      <c r="P17" s="293">
        <v>0</v>
      </c>
      <c r="Q17" s="170">
        <v>0</v>
      </c>
      <c r="R17" s="240">
        <f t="shared" si="8"/>
        <v>0</v>
      </c>
      <c r="S17" s="171">
        <f t="shared" si="9"/>
        <v>5991.4</v>
      </c>
      <c r="T17" s="171">
        <f t="shared" si="10"/>
        <v>5991.4</v>
      </c>
    </row>
    <row r="18" spans="1:20" s="263" customFormat="1" ht="27" customHeight="1" x14ac:dyDescent="0.3">
      <c r="A18" s="262" t="s">
        <v>229</v>
      </c>
      <c r="B18" s="289" t="s">
        <v>974</v>
      </c>
      <c r="C18" s="276" t="s">
        <v>918</v>
      </c>
      <c r="D18" s="267">
        <v>386</v>
      </c>
      <c r="E18" s="268" t="s">
        <v>948</v>
      </c>
      <c r="F18" s="191" t="s">
        <v>975</v>
      </c>
      <c r="G18" s="76" t="s">
        <v>31</v>
      </c>
      <c r="H18" s="169" t="s">
        <v>860</v>
      </c>
      <c r="I18" s="288">
        <v>45588</v>
      </c>
      <c r="J18" s="295">
        <v>45589</v>
      </c>
      <c r="K18" s="280">
        <f t="shared" si="12"/>
        <v>2995.7</v>
      </c>
      <c r="L18" s="280">
        <f t="shared" si="13"/>
        <v>2995.7</v>
      </c>
      <c r="M18" s="280">
        <v>5991.4</v>
      </c>
      <c r="N18" s="241">
        <f t="shared" ref="N18:N23" si="14">(J18-I18)+1</f>
        <v>2</v>
      </c>
      <c r="O18" s="281">
        <v>200</v>
      </c>
      <c r="P18" s="293">
        <v>0</v>
      </c>
      <c r="Q18" s="170">
        <v>0</v>
      </c>
      <c r="R18" s="240">
        <f t="shared" si="8"/>
        <v>400</v>
      </c>
      <c r="S18" s="171">
        <f t="shared" si="9"/>
        <v>6391.4</v>
      </c>
      <c r="T18" s="171">
        <f t="shared" si="10"/>
        <v>6391.4</v>
      </c>
    </row>
    <row r="19" spans="1:20" s="263" customFormat="1" ht="15" customHeight="1" x14ac:dyDescent="0.3">
      <c r="A19" s="126" t="s">
        <v>250</v>
      </c>
      <c r="B19" s="215" t="s">
        <v>922</v>
      </c>
      <c r="C19" s="169" t="s">
        <v>976</v>
      </c>
      <c r="D19" s="169">
        <v>128</v>
      </c>
      <c r="E19" s="169" t="s">
        <v>970</v>
      </c>
      <c r="F19" s="169" t="s">
        <v>977</v>
      </c>
      <c r="G19" s="76" t="s">
        <v>31</v>
      </c>
      <c r="H19" s="169" t="s">
        <v>968</v>
      </c>
      <c r="I19" s="288">
        <v>45595</v>
      </c>
      <c r="J19" s="295">
        <v>45597</v>
      </c>
      <c r="K19" s="280">
        <f t="shared" si="12"/>
        <v>1212.905</v>
      </c>
      <c r="L19" s="280">
        <f t="shared" si="13"/>
        <v>1212.905</v>
      </c>
      <c r="M19" s="280">
        <v>2425.81</v>
      </c>
      <c r="N19" s="241">
        <v>3</v>
      </c>
      <c r="O19" s="281">
        <v>200</v>
      </c>
      <c r="P19" s="293">
        <v>0</v>
      </c>
      <c r="Q19" s="170">
        <v>0</v>
      </c>
      <c r="R19" s="240">
        <f t="shared" si="8"/>
        <v>600</v>
      </c>
      <c r="S19" s="171">
        <f t="shared" si="9"/>
        <v>3025.81</v>
      </c>
      <c r="T19" s="171">
        <f t="shared" si="10"/>
        <v>3025.81</v>
      </c>
    </row>
    <row r="20" spans="1:20" s="263" customFormat="1" ht="29" x14ac:dyDescent="0.3">
      <c r="A20" s="126" t="s">
        <v>250</v>
      </c>
      <c r="B20" s="215" t="s">
        <v>212</v>
      </c>
      <c r="C20" s="169" t="s">
        <v>978</v>
      </c>
      <c r="D20" s="169">
        <v>158</v>
      </c>
      <c r="E20" s="169" t="s">
        <v>271</v>
      </c>
      <c r="F20" s="175" t="s">
        <v>979</v>
      </c>
      <c r="G20" s="76" t="s">
        <v>31</v>
      </c>
      <c r="H20" s="169" t="s">
        <v>933</v>
      </c>
      <c r="I20" s="288">
        <v>45595</v>
      </c>
      <c r="J20" s="295">
        <v>45597</v>
      </c>
      <c r="K20" s="280">
        <f t="shared" si="12"/>
        <v>752.98</v>
      </c>
      <c r="L20" s="280">
        <f t="shared" si="13"/>
        <v>752.98</v>
      </c>
      <c r="M20" s="280">
        <v>1505.96</v>
      </c>
      <c r="N20" s="241">
        <f t="shared" si="14"/>
        <v>3</v>
      </c>
      <c r="O20" s="281">
        <v>200</v>
      </c>
      <c r="P20" s="293">
        <v>0</v>
      </c>
      <c r="Q20" s="170">
        <v>0</v>
      </c>
      <c r="R20" s="240">
        <f t="shared" si="8"/>
        <v>600</v>
      </c>
      <c r="S20" s="171">
        <f t="shared" si="9"/>
        <v>2105.96</v>
      </c>
      <c r="T20" s="171">
        <f t="shared" si="10"/>
        <v>2105.96</v>
      </c>
    </row>
    <row r="21" spans="1:20" s="263" customFormat="1" ht="29" x14ac:dyDescent="0.3">
      <c r="A21" s="126" t="s">
        <v>250</v>
      </c>
      <c r="B21" s="215" t="s">
        <v>212</v>
      </c>
      <c r="C21" s="169" t="s">
        <v>980</v>
      </c>
      <c r="D21" s="169">
        <v>415</v>
      </c>
      <c r="E21" s="169" t="s">
        <v>970</v>
      </c>
      <c r="F21" s="175" t="s">
        <v>981</v>
      </c>
      <c r="G21" s="76" t="s">
        <v>31</v>
      </c>
      <c r="H21" s="169" t="s">
        <v>933</v>
      </c>
      <c r="I21" s="288">
        <v>45595</v>
      </c>
      <c r="J21" s="295">
        <v>45604</v>
      </c>
      <c r="K21" s="280">
        <f t="shared" si="12"/>
        <v>908.98500000000001</v>
      </c>
      <c r="L21" s="280">
        <f t="shared" si="13"/>
        <v>908.98500000000001</v>
      </c>
      <c r="M21" s="280">
        <v>1817.97</v>
      </c>
      <c r="N21" s="241">
        <f t="shared" si="14"/>
        <v>10</v>
      </c>
      <c r="O21" s="281">
        <v>200</v>
      </c>
      <c r="P21" s="293">
        <v>0</v>
      </c>
      <c r="Q21" s="170">
        <v>0</v>
      </c>
      <c r="R21" s="240">
        <f t="shared" si="8"/>
        <v>2000</v>
      </c>
      <c r="S21" s="171">
        <f t="shared" si="9"/>
        <v>3817.9700000000003</v>
      </c>
      <c r="T21" s="171">
        <f t="shared" si="10"/>
        <v>3817.9700000000003</v>
      </c>
    </row>
    <row r="22" spans="1:20" s="263" customFormat="1" ht="15" customHeight="1" x14ac:dyDescent="0.3">
      <c r="A22" s="126" t="s">
        <v>250</v>
      </c>
      <c r="B22" s="126" t="s">
        <v>250</v>
      </c>
      <c r="C22" s="169" t="s">
        <v>670</v>
      </c>
      <c r="D22" s="94">
        <v>383</v>
      </c>
      <c r="E22" s="175" t="s">
        <v>900</v>
      </c>
      <c r="F22" s="169" t="s">
        <v>982</v>
      </c>
      <c r="G22" s="76" t="s">
        <v>31</v>
      </c>
      <c r="H22" s="169" t="s">
        <v>933</v>
      </c>
      <c r="I22" s="288">
        <v>45594</v>
      </c>
      <c r="J22" s="295">
        <v>45596</v>
      </c>
      <c r="K22" s="280">
        <f t="shared" si="12"/>
        <v>781.98</v>
      </c>
      <c r="L22" s="280">
        <f t="shared" si="13"/>
        <v>781.98</v>
      </c>
      <c r="M22" s="280">
        <v>1563.96</v>
      </c>
      <c r="N22" s="241">
        <f t="shared" si="14"/>
        <v>3</v>
      </c>
      <c r="O22" s="281">
        <v>200</v>
      </c>
      <c r="P22" s="293">
        <v>0</v>
      </c>
      <c r="Q22" s="170">
        <v>0</v>
      </c>
      <c r="R22" s="240">
        <f t="shared" si="8"/>
        <v>600</v>
      </c>
      <c r="S22" s="171">
        <f t="shared" si="9"/>
        <v>2163.96</v>
      </c>
      <c r="T22" s="171">
        <f t="shared" si="10"/>
        <v>2163.96</v>
      </c>
    </row>
    <row r="23" spans="1:20" s="263" customFormat="1" ht="15" customHeight="1" x14ac:dyDescent="0.3">
      <c r="A23" s="154" t="s">
        <v>250</v>
      </c>
      <c r="B23" s="215" t="s">
        <v>901</v>
      </c>
      <c r="C23" s="164" t="s">
        <v>802</v>
      </c>
      <c r="D23" s="217">
        <v>404</v>
      </c>
      <c r="E23" s="175" t="s">
        <v>898</v>
      </c>
      <c r="F23" s="169" t="s">
        <v>982</v>
      </c>
      <c r="G23" s="76" t="s">
        <v>31</v>
      </c>
      <c r="H23" s="169" t="s">
        <v>933</v>
      </c>
      <c r="I23" s="288">
        <v>45594</v>
      </c>
      <c r="J23" s="295">
        <v>45596</v>
      </c>
      <c r="K23" s="280">
        <f t="shared" si="12"/>
        <v>781.98</v>
      </c>
      <c r="L23" s="280">
        <f t="shared" si="13"/>
        <v>781.98</v>
      </c>
      <c r="M23" s="280">
        <v>1563.96</v>
      </c>
      <c r="N23" s="241">
        <f t="shared" si="14"/>
        <v>3</v>
      </c>
      <c r="O23" s="281">
        <v>200</v>
      </c>
      <c r="P23" s="293">
        <v>0</v>
      </c>
      <c r="Q23" s="170">
        <v>0</v>
      </c>
      <c r="R23" s="240">
        <f t="shared" si="8"/>
        <v>600</v>
      </c>
      <c r="S23" s="171">
        <f t="shared" si="9"/>
        <v>2163.96</v>
      </c>
      <c r="T23" s="171">
        <f t="shared" si="10"/>
        <v>2163.96</v>
      </c>
    </row>
    <row r="24" spans="1:20" s="263" customFormat="1" ht="15" customHeight="1" x14ac:dyDescent="0.3">
      <c r="C24" s="169"/>
      <c r="D24" s="169"/>
      <c r="G24" s="76"/>
      <c r="H24" s="169"/>
      <c r="M24" s="201"/>
      <c r="N24" s="269"/>
      <c r="R24" s="292"/>
    </row>
    <row r="25" spans="1:20" s="263" customFormat="1" ht="15" customHeight="1" x14ac:dyDescent="0.3">
      <c r="C25" s="169"/>
      <c r="M25" s="201"/>
      <c r="N25" s="269"/>
    </row>
    <row r="26" spans="1:20" s="263" customFormat="1" ht="15" customHeight="1" x14ac:dyDescent="0.3">
      <c r="M26" s="278">
        <f>SUM(M5:M17)</f>
        <v>44654.78</v>
      </c>
      <c r="N26" s="269"/>
      <c r="S26" s="282">
        <f>SUM(S5:S25)</f>
        <v>69323.839999999997</v>
      </c>
    </row>
    <row r="29" spans="1:20" x14ac:dyDescent="0.35">
      <c r="H29" s="208"/>
    </row>
  </sheetData>
  <mergeCells count="25"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P3:Q3"/>
    <mergeCell ref="R3:R4"/>
    <mergeCell ref="S3:S4"/>
    <mergeCell ref="I3:I4"/>
    <mergeCell ref="J3:J4"/>
    <mergeCell ref="K3:K4"/>
    <mergeCell ref="L3:L4"/>
    <mergeCell ref="M3:M4"/>
    <mergeCell ref="N3:O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6DA75-9571-438E-80E3-5E7BC2B758FE}">
  <dimension ref="A1:V28"/>
  <sheetViews>
    <sheetView showGridLines="0" zoomScale="80" zoomScaleNormal="80" workbookViewId="0">
      <selection activeCell="B14" sqref="B14"/>
    </sheetView>
  </sheetViews>
  <sheetFormatPr defaultRowHeight="14.5" x14ac:dyDescent="0.35"/>
  <cols>
    <col min="1" max="1" width="38.5" bestFit="1" customWidth="1"/>
    <col min="2" max="2" width="48.33203125" bestFit="1" customWidth="1"/>
    <col min="3" max="3" width="45.08203125" style="165" bestFit="1" customWidth="1"/>
    <col min="4" max="4" width="12.5" customWidth="1"/>
    <col min="5" max="5" width="15" style="221" customWidth="1"/>
    <col min="6" max="6" width="32" style="166" customWidth="1"/>
    <col min="7" max="7" width="13.83203125" bestFit="1" customWidth="1"/>
    <col min="8" max="8" width="37.83203125" style="165" bestFit="1" customWidth="1"/>
    <col min="9" max="9" width="11.5" style="165" bestFit="1" customWidth="1"/>
    <col min="10" max="10" width="9.83203125" style="165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</row>
    <row r="2" spans="1:22" x14ac:dyDescent="0.35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94"/>
      <c r="J2" s="394"/>
      <c r="K2" s="442" t="s">
        <v>7</v>
      </c>
      <c r="L2" s="442"/>
      <c r="M2" s="442"/>
      <c r="N2" s="337" t="s">
        <v>1</v>
      </c>
      <c r="O2" s="337"/>
      <c r="P2" s="337"/>
      <c r="Q2" s="337"/>
      <c r="R2" s="337"/>
      <c r="S2" s="337"/>
      <c r="T2" s="337" t="s">
        <v>8</v>
      </c>
      <c r="U2" s="443" t="s">
        <v>9</v>
      </c>
    </row>
    <row r="3" spans="1:22" s="167" customFormat="1" x14ac:dyDescent="0.3">
      <c r="A3" s="445" t="s">
        <v>10</v>
      </c>
      <c r="B3" s="445" t="s">
        <v>11</v>
      </c>
      <c r="C3" s="447" t="s">
        <v>12</v>
      </c>
      <c r="D3" s="445" t="s">
        <v>13</v>
      </c>
      <c r="E3" s="449" t="s">
        <v>14</v>
      </c>
      <c r="F3" s="447" t="s">
        <v>15</v>
      </c>
      <c r="G3" s="445" t="s">
        <v>16</v>
      </c>
      <c r="H3" s="458" t="s">
        <v>859</v>
      </c>
      <c r="I3" s="461" t="s">
        <v>19</v>
      </c>
      <c r="J3" s="461" t="s">
        <v>20</v>
      </c>
      <c r="K3" s="463" t="s">
        <v>21</v>
      </c>
      <c r="L3" s="465" t="s">
        <v>22</v>
      </c>
      <c r="M3" s="467" t="s">
        <v>23</v>
      </c>
      <c r="N3" s="467" t="s">
        <v>24</v>
      </c>
      <c r="O3" s="467"/>
      <c r="P3" s="453" t="s">
        <v>25</v>
      </c>
      <c r="Q3" s="453"/>
      <c r="R3" s="445" t="s">
        <v>26</v>
      </c>
      <c r="S3" s="453" t="s">
        <v>23</v>
      </c>
      <c r="T3" s="337"/>
      <c r="U3" s="443"/>
    </row>
    <row r="4" spans="1:22" s="167" customFormat="1" x14ac:dyDescent="0.3">
      <c r="A4" s="446"/>
      <c r="B4" s="446"/>
      <c r="C4" s="448"/>
      <c r="D4" s="446"/>
      <c r="E4" s="450"/>
      <c r="F4" s="448"/>
      <c r="G4" s="446"/>
      <c r="H4" s="459"/>
      <c r="I4" s="462"/>
      <c r="J4" s="462"/>
      <c r="K4" s="464"/>
      <c r="L4" s="466"/>
      <c r="M4" s="468"/>
      <c r="N4" s="209" t="s">
        <v>2</v>
      </c>
      <c r="O4" s="210" t="s">
        <v>30</v>
      </c>
      <c r="P4" s="211" t="s">
        <v>2</v>
      </c>
      <c r="Q4" s="212" t="s">
        <v>30</v>
      </c>
      <c r="R4" s="446"/>
      <c r="S4" s="460"/>
      <c r="T4" s="394"/>
      <c r="U4" s="444"/>
    </row>
    <row r="5" spans="1:22" s="119" customFormat="1" x14ac:dyDescent="0.3">
      <c r="A5" s="285" t="s">
        <v>229</v>
      </c>
      <c r="B5" s="296" t="s">
        <v>990</v>
      </c>
      <c r="C5" s="296" t="s">
        <v>987</v>
      </c>
      <c r="D5" s="217">
        <v>315</v>
      </c>
      <c r="E5" s="175" t="s">
        <v>988</v>
      </c>
      <c r="F5" s="191" t="s">
        <v>1003</v>
      </c>
      <c r="G5" s="76" t="s">
        <v>31</v>
      </c>
      <c r="H5" s="169" t="s">
        <v>989</v>
      </c>
      <c r="I5" s="195">
        <v>45601</v>
      </c>
      <c r="J5" s="264">
        <v>45603</v>
      </c>
      <c r="K5" s="279">
        <v>1598.54</v>
      </c>
      <c r="L5" s="279">
        <v>1076.97</v>
      </c>
      <c r="M5" s="300">
        <f>K5+L5</f>
        <v>2675.51</v>
      </c>
      <c r="N5" s="194">
        <f>(J5-I5)+1</f>
        <v>3</v>
      </c>
      <c r="O5" s="281">
        <v>200</v>
      </c>
      <c r="P5" s="293">
        <v>0</v>
      </c>
      <c r="Q5" s="130">
        <v>0</v>
      </c>
      <c r="R5" s="290">
        <f>N5*O5+P5*Q5</f>
        <v>600</v>
      </c>
      <c r="S5" s="306">
        <f>M5+R5</f>
        <v>3275.51</v>
      </c>
      <c r="T5" s="70">
        <f t="shared" ref="T5:T14" si="0">S5</f>
        <v>3275.51</v>
      </c>
      <c r="U5" s="169"/>
      <c r="V5" s="94"/>
    </row>
    <row r="6" spans="1:22" x14ac:dyDescent="0.3">
      <c r="A6" s="262" t="s">
        <v>229</v>
      </c>
      <c r="B6" s="297" t="s">
        <v>993</v>
      </c>
      <c r="C6" s="296" t="s">
        <v>991</v>
      </c>
      <c r="D6" s="247">
        <v>248</v>
      </c>
      <c r="E6" s="175" t="s">
        <v>988</v>
      </c>
      <c r="F6" s="191" t="s">
        <v>992</v>
      </c>
      <c r="G6" s="76" t="s">
        <v>31</v>
      </c>
      <c r="H6" s="169" t="s">
        <v>989</v>
      </c>
      <c r="I6" s="195">
        <v>45599</v>
      </c>
      <c r="J6" s="264">
        <v>45605</v>
      </c>
      <c r="K6" s="265">
        <v>1426.22</v>
      </c>
      <c r="L6" s="265">
        <v>987.23</v>
      </c>
      <c r="M6" s="279">
        <f>K6+L6</f>
        <v>2413.4499999999998</v>
      </c>
      <c r="N6" s="194">
        <f>(J6-I6)+1</f>
        <v>7</v>
      </c>
      <c r="O6" s="281">
        <v>200</v>
      </c>
      <c r="P6" s="293">
        <v>0</v>
      </c>
      <c r="Q6" s="236">
        <v>0</v>
      </c>
      <c r="R6" s="291">
        <f t="shared" ref="R6:R10" si="1">N6*O6+P6*Q6</f>
        <v>1400</v>
      </c>
      <c r="S6" s="232">
        <f t="shared" ref="S6:S14" si="2">M6+R6</f>
        <v>3813.45</v>
      </c>
      <c r="T6" s="232">
        <f t="shared" si="0"/>
        <v>3813.45</v>
      </c>
      <c r="U6" s="169"/>
      <c r="V6" s="94"/>
    </row>
    <row r="7" spans="1:22" ht="29" x14ac:dyDescent="0.3">
      <c r="A7" s="262" t="s">
        <v>229</v>
      </c>
      <c r="B7" s="262" t="s">
        <v>229</v>
      </c>
      <c r="C7" s="164" t="s">
        <v>858</v>
      </c>
      <c r="D7" s="94">
        <v>0</v>
      </c>
      <c r="E7" s="175" t="s">
        <v>90</v>
      </c>
      <c r="F7" s="169" t="s">
        <v>994</v>
      </c>
      <c r="G7" s="286" t="s">
        <v>764</v>
      </c>
      <c r="H7" s="169" t="s">
        <v>995</v>
      </c>
      <c r="I7" s="195">
        <v>45609</v>
      </c>
      <c r="J7" s="264">
        <v>45612</v>
      </c>
      <c r="K7" s="265">
        <f>M7/2</f>
        <v>2902.395</v>
      </c>
      <c r="L7" s="265">
        <f>M7/2</f>
        <v>2902.395</v>
      </c>
      <c r="M7" s="280">
        <v>5804.79</v>
      </c>
      <c r="N7" s="194">
        <v>0</v>
      </c>
      <c r="O7" s="284">
        <v>200</v>
      </c>
      <c r="P7" s="293">
        <v>0</v>
      </c>
      <c r="Q7" s="236">
        <v>0</v>
      </c>
      <c r="R7" s="291">
        <f>N7*O7</f>
        <v>0</v>
      </c>
      <c r="S7" s="233">
        <f>M7+R7</f>
        <v>5804.79</v>
      </c>
      <c r="T7" s="232">
        <f t="shared" si="0"/>
        <v>5804.79</v>
      </c>
      <c r="U7" s="169"/>
      <c r="V7" s="94"/>
    </row>
    <row r="8" spans="1:22" ht="29" x14ac:dyDescent="0.3">
      <c r="A8" s="169" t="s">
        <v>279</v>
      </c>
      <c r="B8" s="297" t="s">
        <v>998</v>
      </c>
      <c r="C8" s="194" t="s">
        <v>996</v>
      </c>
      <c r="D8" s="234">
        <v>416</v>
      </c>
      <c r="E8" s="175" t="s">
        <v>1012</v>
      </c>
      <c r="F8" s="175" t="s">
        <v>1002</v>
      </c>
      <c r="G8" s="215" t="s">
        <v>31</v>
      </c>
      <c r="H8" s="169" t="s">
        <v>997</v>
      </c>
      <c r="I8" s="195">
        <v>45623</v>
      </c>
      <c r="J8" s="264">
        <v>45625</v>
      </c>
      <c r="K8" s="265">
        <f>M8/2</f>
        <v>783.39499999999998</v>
      </c>
      <c r="L8" s="265">
        <f>M8/2</f>
        <v>783.39499999999998</v>
      </c>
      <c r="M8" s="280">
        <v>1566.79</v>
      </c>
      <c r="N8" s="194">
        <f>(J8-I8)+1</f>
        <v>3</v>
      </c>
      <c r="O8" s="284">
        <v>200</v>
      </c>
      <c r="P8" s="293">
        <v>0</v>
      </c>
      <c r="Q8" s="236">
        <v>0</v>
      </c>
      <c r="R8" s="291">
        <f>N8*O8+P8*Q8</f>
        <v>600</v>
      </c>
      <c r="S8" s="232">
        <f t="shared" si="2"/>
        <v>2166.79</v>
      </c>
      <c r="T8" s="232">
        <f t="shared" si="0"/>
        <v>2166.79</v>
      </c>
      <c r="U8" s="169"/>
      <c r="V8" s="94"/>
    </row>
    <row r="9" spans="1:22" ht="29" x14ac:dyDescent="0.3">
      <c r="A9" s="299" t="s">
        <v>250</v>
      </c>
      <c r="B9" s="169" t="s">
        <v>934</v>
      </c>
      <c r="C9" s="296" t="s">
        <v>999</v>
      </c>
      <c r="D9" s="217">
        <v>74</v>
      </c>
      <c r="E9" s="175" t="s">
        <v>536</v>
      </c>
      <c r="F9" s="218" t="s">
        <v>1001</v>
      </c>
      <c r="G9" s="215" t="s">
        <v>31</v>
      </c>
      <c r="H9" s="169" t="s">
        <v>933</v>
      </c>
      <c r="I9" s="195">
        <v>45608</v>
      </c>
      <c r="J9" s="264">
        <v>45615</v>
      </c>
      <c r="K9" s="279">
        <f>M9/2</f>
        <v>1112.0450000000001</v>
      </c>
      <c r="L9" s="279">
        <f t="shared" ref="L9" si="3">M9/2</f>
        <v>1112.0450000000001</v>
      </c>
      <c r="M9" s="280">
        <v>2224.09</v>
      </c>
      <c r="N9" s="194">
        <f>(J9-I9)+1</f>
        <v>8</v>
      </c>
      <c r="O9" s="294">
        <v>200</v>
      </c>
      <c r="P9" s="293">
        <v>0</v>
      </c>
      <c r="Q9" s="170">
        <v>0</v>
      </c>
      <c r="R9" s="240">
        <f t="shared" si="1"/>
        <v>1600</v>
      </c>
      <c r="S9" s="171">
        <f t="shared" si="2"/>
        <v>3824.09</v>
      </c>
      <c r="T9" s="171">
        <f t="shared" si="0"/>
        <v>3824.09</v>
      </c>
      <c r="U9" s="169"/>
      <c r="V9" s="94"/>
    </row>
    <row r="10" spans="1:22" x14ac:dyDescent="0.3">
      <c r="A10" s="169" t="s">
        <v>279</v>
      </c>
      <c r="B10" s="169" t="s">
        <v>279</v>
      </c>
      <c r="C10" s="164" t="s">
        <v>967</v>
      </c>
      <c r="D10" s="217">
        <v>0</v>
      </c>
      <c r="E10" s="175" t="s">
        <v>897</v>
      </c>
      <c r="F10" s="218" t="s">
        <v>1011</v>
      </c>
      <c r="G10" s="76" t="s">
        <v>31</v>
      </c>
      <c r="H10" s="169" t="s">
        <v>1000</v>
      </c>
      <c r="I10" s="195">
        <v>45614</v>
      </c>
      <c r="J10" s="264">
        <v>45625</v>
      </c>
      <c r="K10" s="279">
        <v>2998.94</v>
      </c>
      <c r="L10" s="279">
        <v>3920.76</v>
      </c>
      <c r="M10" s="280">
        <f>K10+L10</f>
        <v>6919.7000000000007</v>
      </c>
      <c r="N10" s="194">
        <v>0</v>
      </c>
      <c r="O10" s="294">
        <v>200</v>
      </c>
      <c r="P10" s="293">
        <v>0</v>
      </c>
      <c r="Q10" s="170">
        <v>0</v>
      </c>
      <c r="R10" s="240">
        <f t="shared" si="1"/>
        <v>0</v>
      </c>
      <c r="S10" s="171">
        <f t="shared" si="2"/>
        <v>6919.7000000000007</v>
      </c>
      <c r="T10" s="171">
        <f t="shared" si="0"/>
        <v>6919.7000000000007</v>
      </c>
      <c r="U10" s="169"/>
      <c r="V10" s="94"/>
    </row>
    <row r="11" spans="1:22" ht="29" x14ac:dyDescent="0.3">
      <c r="A11" s="262" t="s">
        <v>229</v>
      </c>
      <c r="B11" s="262" t="s">
        <v>229</v>
      </c>
      <c r="C11" s="164" t="s">
        <v>858</v>
      </c>
      <c r="D11" s="247">
        <v>0</v>
      </c>
      <c r="E11" s="175" t="s">
        <v>90</v>
      </c>
      <c r="F11" s="191"/>
      <c r="G11" s="76" t="s">
        <v>31</v>
      </c>
      <c r="H11" s="169" t="s">
        <v>920</v>
      </c>
      <c r="I11" s="195">
        <v>45616</v>
      </c>
      <c r="J11" s="264">
        <v>45617</v>
      </c>
      <c r="K11" s="279">
        <f>M11/2</f>
        <v>1415.0550000000001</v>
      </c>
      <c r="L11" s="279">
        <f>M11/2</f>
        <v>1415.0550000000001</v>
      </c>
      <c r="M11" s="301">
        <v>2830.11</v>
      </c>
      <c r="N11" s="194">
        <v>0</v>
      </c>
      <c r="O11" s="294">
        <v>200</v>
      </c>
      <c r="P11" s="293">
        <v>0</v>
      </c>
      <c r="Q11" s="170">
        <v>0</v>
      </c>
      <c r="R11" s="240">
        <f>N11*O11+P11*Q11</f>
        <v>0</v>
      </c>
      <c r="S11" s="171">
        <f t="shared" si="2"/>
        <v>2830.11</v>
      </c>
      <c r="T11" s="171">
        <f t="shared" si="0"/>
        <v>2830.11</v>
      </c>
      <c r="U11" s="169"/>
      <c r="V11" s="94"/>
    </row>
    <row r="12" spans="1:22" s="167" customFormat="1" ht="29" x14ac:dyDescent="0.3">
      <c r="A12" s="126" t="s">
        <v>250</v>
      </c>
      <c r="B12" s="169" t="s">
        <v>934</v>
      </c>
      <c r="C12" s="169" t="s">
        <v>642</v>
      </c>
      <c r="D12" s="94">
        <v>252</v>
      </c>
      <c r="E12" s="175" t="s">
        <v>536</v>
      </c>
      <c r="F12" s="175" t="s">
        <v>1010</v>
      </c>
      <c r="G12" s="76" t="s">
        <v>31</v>
      </c>
      <c r="H12" s="169" t="s">
        <v>933</v>
      </c>
      <c r="I12" s="195">
        <v>45600</v>
      </c>
      <c r="J12" s="264">
        <v>45615</v>
      </c>
      <c r="K12" s="265">
        <f>$M12/2</f>
        <v>1472.22</v>
      </c>
      <c r="L12" s="265">
        <f>$M$12/2</f>
        <v>1472.22</v>
      </c>
      <c r="M12" s="302">
        <f>1454.96+1489.48</f>
        <v>2944.44</v>
      </c>
      <c r="N12" s="241">
        <f>(J12-I12)+1</f>
        <v>16</v>
      </c>
      <c r="O12" s="294">
        <v>200</v>
      </c>
      <c r="P12" s="293">
        <v>0</v>
      </c>
      <c r="Q12" s="170">
        <v>0</v>
      </c>
      <c r="R12" s="240">
        <f t="shared" ref="R12:R14" si="4">N12*O12+P12*Q12</f>
        <v>3200</v>
      </c>
      <c r="S12" s="171">
        <f t="shared" si="2"/>
        <v>6144.4400000000005</v>
      </c>
      <c r="T12" s="171">
        <f t="shared" si="0"/>
        <v>6144.4400000000005</v>
      </c>
      <c r="U12" s="169"/>
      <c r="V12" s="94"/>
    </row>
    <row r="13" spans="1:22" x14ac:dyDescent="0.3">
      <c r="A13" s="126" t="s">
        <v>279</v>
      </c>
      <c r="B13" s="296" t="s">
        <v>1006</v>
      </c>
      <c r="C13" s="194" t="s">
        <v>1004</v>
      </c>
      <c r="D13" s="94">
        <v>412</v>
      </c>
      <c r="E13" s="298" t="s">
        <v>1008</v>
      </c>
      <c r="F13" s="175" t="s">
        <v>1009</v>
      </c>
      <c r="G13" s="76" t="s">
        <v>31</v>
      </c>
      <c r="H13" s="169" t="s">
        <v>997</v>
      </c>
      <c r="I13" s="195">
        <v>45623</v>
      </c>
      <c r="J13" s="264">
        <v>45625</v>
      </c>
      <c r="K13" s="265">
        <f>$M$13/2</f>
        <v>1051.9000000000001</v>
      </c>
      <c r="L13" s="265">
        <f>$M13/2</f>
        <v>1051.9000000000001</v>
      </c>
      <c r="M13" s="265">
        <v>2103.8000000000002</v>
      </c>
      <c r="N13" s="241">
        <f>(J13-I13)+1</f>
        <v>3</v>
      </c>
      <c r="O13" s="294">
        <v>200</v>
      </c>
      <c r="P13" s="293">
        <v>0</v>
      </c>
      <c r="Q13" s="170">
        <v>0</v>
      </c>
      <c r="R13" s="240">
        <f t="shared" si="4"/>
        <v>600</v>
      </c>
      <c r="S13" s="171">
        <f t="shared" si="2"/>
        <v>2703.8</v>
      </c>
      <c r="T13" s="171">
        <f t="shared" si="0"/>
        <v>2703.8</v>
      </c>
      <c r="U13" s="169"/>
      <c r="V13" s="94"/>
    </row>
    <row r="14" spans="1:22" x14ac:dyDescent="0.35">
      <c r="A14" s="285" t="s">
        <v>229</v>
      </c>
      <c r="B14" s="271" t="s">
        <v>952</v>
      </c>
      <c r="C14" s="194" t="s">
        <v>1005</v>
      </c>
      <c r="D14" s="94">
        <v>127</v>
      </c>
      <c r="E14" s="175" t="s">
        <v>1007</v>
      </c>
      <c r="F14" s="175" t="s">
        <v>1009</v>
      </c>
      <c r="G14" s="285" t="s">
        <v>31</v>
      </c>
      <c r="H14" s="169" t="s">
        <v>997</v>
      </c>
      <c r="I14" s="195">
        <v>45622</v>
      </c>
      <c r="J14" s="264">
        <v>45625</v>
      </c>
      <c r="K14" s="280">
        <f>M14/2</f>
        <v>891.13499999999999</v>
      </c>
      <c r="L14" s="280">
        <f>M14/2</f>
        <v>891.13499999999999</v>
      </c>
      <c r="M14" s="280">
        <v>1782.27</v>
      </c>
      <c r="N14" s="241">
        <f>(J14-I14)+1</f>
        <v>4</v>
      </c>
      <c r="O14" s="281">
        <v>200</v>
      </c>
      <c r="P14" s="293">
        <v>0</v>
      </c>
      <c r="Q14" s="170">
        <v>0</v>
      </c>
      <c r="R14" s="240">
        <f t="shared" si="4"/>
        <v>800</v>
      </c>
      <c r="S14" s="171">
        <f t="shared" si="2"/>
        <v>2582.27</v>
      </c>
      <c r="T14" s="171">
        <f t="shared" si="0"/>
        <v>2582.27</v>
      </c>
      <c r="U14" s="168"/>
      <c r="V14" s="44"/>
    </row>
    <row r="15" spans="1:22" x14ac:dyDescent="0.35">
      <c r="A15" s="285"/>
      <c r="B15" s="271"/>
      <c r="C15" s="169"/>
      <c r="D15" s="94"/>
      <c r="E15" s="175"/>
      <c r="F15" s="221"/>
      <c r="G15" s="285"/>
      <c r="H15" s="169"/>
      <c r="I15" s="195"/>
      <c r="J15" s="264"/>
      <c r="K15" s="280"/>
      <c r="L15" s="280"/>
      <c r="M15" s="280"/>
      <c r="N15" s="241"/>
      <c r="O15" s="281"/>
      <c r="P15" s="293"/>
      <c r="Q15" s="170"/>
      <c r="R15" s="240"/>
      <c r="S15" s="171"/>
      <c r="T15" s="171"/>
      <c r="U15" s="168"/>
      <c r="V15" s="44"/>
    </row>
    <row r="16" spans="1:22" s="263" customFormat="1" ht="15" customHeight="1" x14ac:dyDescent="0.3">
      <c r="A16" s="262"/>
      <c r="B16" s="262"/>
      <c r="C16" s="164"/>
      <c r="D16" s="247"/>
      <c r="E16" s="175"/>
      <c r="F16" s="191"/>
      <c r="G16" s="76"/>
      <c r="H16" s="169"/>
      <c r="I16" s="288"/>
      <c r="J16" s="295"/>
      <c r="K16" s="280"/>
      <c r="L16" s="280"/>
      <c r="M16" s="280"/>
      <c r="N16" s="241"/>
      <c r="O16" s="281"/>
      <c r="P16" s="293"/>
      <c r="Q16" s="170"/>
      <c r="R16" s="240"/>
      <c r="S16" s="171"/>
      <c r="T16" s="171"/>
    </row>
    <row r="17" spans="1:20" s="263" customFormat="1" ht="27" customHeight="1" x14ac:dyDescent="0.3">
      <c r="A17" s="262"/>
      <c r="B17" s="289"/>
      <c r="C17" s="276"/>
      <c r="D17" s="267"/>
      <c r="E17" s="268"/>
      <c r="F17" s="191"/>
      <c r="G17" s="76"/>
      <c r="H17" s="169"/>
      <c r="I17" s="288"/>
      <c r="J17" s="295"/>
      <c r="K17" s="280"/>
      <c r="L17" s="280"/>
      <c r="M17" s="280"/>
      <c r="N17" s="241"/>
      <c r="O17" s="281"/>
      <c r="P17" s="293"/>
      <c r="Q17" s="170"/>
      <c r="R17" s="240"/>
      <c r="S17" s="171"/>
      <c r="T17" s="171"/>
    </row>
    <row r="18" spans="1:20" s="263" customFormat="1" ht="15" customHeight="1" x14ac:dyDescent="0.3">
      <c r="A18" s="126"/>
      <c r="B18" s="215"/>
      <c r="C18" s="169"/>
      <c r="D18" s="169"/>
      <c r="E18" s="169"/>
      <c r="F18" s="169"/>
      <c r="G18" s="76"/>
      <c r="H18" s="169"/>
      <c r="I18" s="288"/>
      <c r="J18" s="295"/>
      <c r="K18" s="280"/>
      <c r="L18" s="280"/>
      <c r="M18" s="280"/>
      <c r="N18" s="241"/>
      <c r="O18" s="281"/>
      <c r="P18" s="293"/>
      <c r="Q18" s="170"/>
      <c r="R18" s="240"/>
      <c r="S18" s="171"/>
      <c r="T18" s="171"/>
    </row>
    <row r="19" spans="1:20" s="263" customFormat="1" x14ac:dyDescent="0.3">
      <c r="A19" s="126"/>
      <c r="B19" s="215"/>
      <c r="C19" s="169"/>
      <c r="D19" s="169"/>
      <c r="E19" s="169"/>
      <c r="F19" s="175"/>
      <c r="G19" s="76"/>
      <c r="H19" s="169"/>
      <c r="I19" s="288"/>
      <c r="J19" s="295"/>
      <c r="K19" s="280"/>
      <c r="L19" s="280"/>
      <c r="M19" s="280"/>
      <c r="N19" s="241"/>
      <c r="O19" s="281"/>
      <c r="P19" s="293"/>
      <c r="Q19" s="170"/>
      <c r="R19" s="240"/>
      <c r="S19" s="171"/>
      <c r="T19" s="171"/>
    </row>
    <row r="20" spans="1:20" s="263" customFormat="1" x14ac:dyDescent="0.3">
      <c r="A20" s="126"/>
      <c r="B20" s="215"/>
      <c r="C20" s="169"/>
      <c r="D20" s="169"/>
      <c r="E20" s="169"/>
      <c r="F20" s="175"/>
      <c r="G20" s="76"/>
      <c r="H20" s="169"/>
      <c r="I20" s="288"/>
      <c r="J20" s="295"/>
      <c r="K20" s="280"/>
      <c r="L20" s="280"/>
      <c r="M20" s="280"/>
      <c r="N20" s="241"/>
      <c r="O20" s="281"/>
      <c r="P20" s="293"/>
      <c r="Q20" s="170"/>
      <c r="R20" s="240"/>
      <c r="S20" s="171"/>
      <c r="T20" s="171"/>
    </row>
    <row r="21" spans="1:20" s="263" customFormat="1" ht="15" customHeight="1" x14ac:dyDescent="0.3">
      <c r="A21" s="126"/>
      <c r="B21" s="126"/>
      <c r="C21" s="169"/>
      <c r="D21" s="94"/>
      <c r="E21" s="175"/>
      <c r="F21" s="169"/>
      <c r="G21" s="76"/>
      <c r="H21" s="169"/>
      <c r="I21" s="288"/>
      <c r="J21" s="295"/>
      <c r="K21" s="280"/>
      <c r="L21" s="280"/>
      <c r="M21" s="280"/>
      <c r="N21" s="241"/>
      <c r="O21" s="281"/>
      <c r="P21" s="293"/>
      <c r="Q21" s="170"/>
      <c r="R21" s="240"/>
      <c r="S21" s="171"/>
      <c r="T21" s="171"/>
    </row>
    <row r="22" spans="1:20" s="263" customFormat="1" ht="15" customHeight="1" x14ac:dyDescent="0.3">
      <c r="A22" s="154"/>
      <c r="B22" s="215"/>
      <c r="C22" s="164"/>
      <c r="D22" s="217"/>
      <c r="E22" s="175"/>
      <c r="F22" s="169"/>
      <c r="G22" s="76"/>
      <c r="H22" s="169"/>
      <c r="I22" s="288"/>
      <c r="J22" s="295"/>
      <c r="K22" s="280"/>
      <c r="L22" s="280"/>
      <c r="M22" s="280"/>
      <c r="N22" s="241"/>
      <c r="O22" s="281"/>
      <c r="P22" s="293"/>
      <c r="Q22" s="170"/>
      <c r="R22" s="240"/>
      <c r="S22" s="171"/>
      <c r="T22" s="171"/>
    </row>
    <row r="23" spans="1:20" s="263" customFormat="1" ht="15" customHeight="1" x14ac:dyDescent="0.3">
      <c r="C23" s="169"/>
      <c r="D23" s="169"/>
      <c r="G23" s="76"/>
      <c r="H23" s="169"/>
      <c r="M23" s="201"/>
      <c r="N23" s="269"/>
      <c r="R23" s="292"/>
    </row>
    <row r="24" spans="1:20" s="263" customFormat="1" ht="15" customHeight="1" x14ac:dyDescent="0.3">
      <c r="C24" s="169"/>
      <c r="M24" s="201"/>
      <c r="N24" s="269"/>
    </row>
    <row r="25" spans="1:20" s="263" customFormat="1" ht="15" customHeight="1" x14ac:dyDescent="0.3">
      <c r="M25" s="278">
        <f>SUM(M5:M16)</f>
        <v>31264.95</v>
      </c>
      <c r="N25" s="269"/>
      <c r="S25" s="282">
        <f>SUM(S5:S24)</f>
        <v>40064.950000000004</v>
      </c>
    </row>
    <row r="28" spans="1:20" x14ac:dyDescent="0.35">
      <c r="H28" s="208"/>
    </row>
  </sheetData>
  <mergeCells count="25"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P3:Q3"/>
    <mergeCell ref="R3:R4"/>
    <mergeCell ref="S3:S4"/>
    <mergeCell ref="I3:I4"/>
    <mergeCell ref="J3:J4"/>
    <mergeCell ref="K3:K4"/>
    <mergeCell ref="L3:L4"/>
    <mergeCell ref="M3:M4"/>
    <mergeCell ref="N3:O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EE490-9198-4D2A-8BE6-AAC3CDDD2542}">
  <sheetPr codeName="Planilha1"/>
  <dimension ref="A1:V36"/>
  <sheetViews>
    <sheetView showGridLines="0" zoomScale="90" zoomScaleNormal="90" workbookViewId="0">
      <selection activeCell="B17" sqref="B17"/>
    </sheetView>
  </sheetViews>
  <sheetFormatPr defaultRowHeight="14.5" x14ac:dyDescent="0.35"/>
  <cols>
    <col min="1" max="1" width="38.5" bestFit="1" customWidth="1"/>
    <col min="2" max="2" width="43.33203125" customWidth="1"/>
    <col min="3" max="3" width="38.58203125" style="165" customWidth="1"/>
    <col min="4" max="4" width="12.5" customWidth="1"/>
    <col min="5" max="5" width="15" style="221" customWidth="1"/>
    <col min="6" max="6" width="32" style="166" customWidth="1"/>
    <col min="7" max="7" width="13.83203125" bestFit="1" customWidth="1"/>
    <col min="8" max="8" width="29" style="165" customWidth="1"/>
    <col min="9" max="9" width="11.5" style="165" bestFit="1" customWidth="1"/>
    <col min="10" max="10" width="10.33203125" style="165" bestFit="1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</row>
    <row r="2" spans="1:22" x14ac:dyDescent="0.35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94"/>
      <c r="J2" s="394"/>
      <c r="K2" s="442" t="s">
        <v>7</v>
      </c>
      <c r="L2" s="442"/>
      <c r="M2" s="442"/>
      <c r="N2" s="337" t="s">
        <v>1</v>
      </c>
      <c r="O2" s="337"/>
      <c r="P2" s="337"/>
      <c r="Q2" s="337"/>
      <c r="R2" s="337"/>
      <c r="S2" s="337"/>
      <c r="T2" s="337" t="s">
        <v>8</v>
      </c>
      <c r="U2" s="443" t="s">
        <v>9</v>
      </c>
    </row>
    <row r="3" spans="1:22" s="167" customFormat="1" x14ac:dyDescent="0.3">
      <c r="A3" s="445" t="s">
        <v>10</v>
      </c>
      <c r="B3" s="445" t="s">
        <v>11</v>
      </c>
      <c r="C3" s="447" t="s">
        <v>12</v>
      </c>
      <c r="D3" s="445" t="s">
        <v>13</v>
      </c>
      <c r="E3" s="449" t="s">
        <v>14</v>
      </c>
      <c r="F3" s="447" t="s">
        <v>15</v>
      </c>
      <c r="G3" s="445" t="s">
        <v>16</v>
      </c>
      <c r="H3" s="458" t="s">
        <v>859</v>
      </c>
      <c r="I3" s="461" t="s">
        <v>19</v>
      </c>
      <c r="J3" s="461" t="s">
        <v>20</v>
      </c>
      <c r="K3" s="463" t="s">
        <v>21</v>
      </c>
      <c r="L3" s="465" t="s">
        <v>22</v>
      </c>
      <c r="M3" s="467" t="s">
        <v>23</v>
      </c>
      <c r="N3" s="467" t="s">
        <v>24</v>
      </c>
      <c r="O3" s="467"/>
      <c r="P3" s="453" t="s">
        <v>25</v>
      </c>
      <c r="Q3" s="453"/>
      <c r="R3" s="445" t="s">
        <v>26</v>
      </c>
      <c r="S3" s="453" t="s">
        <v>23</v>
      </c>
      <c r="T3" s="337"/>
      <c r="U3" s="443"/>
    </row>
    <row r="4" spans="1:22" s="167" customFormat="1" x14ac:dyDescent="0.3">
      <c r="A4" s="446"/>
      <c r="B4" s="446"/>
      <c r="C4" s="448"/>
      <c r="D4" s="446"/>
      <c r="E4" s="450"/>
      <c r="F4" s="448"/>
      <c r="G4" s="446"/>
      <c r="H4" s="459"/>
      <c r="I4" s="462"/>
      <c r="J4" s="462"/>
      <c r="K4" s="464"/>
      <c r="L4" s="466"/>
      <c r="M4" s="468"/>
      <c r="N4" s="209" t="s">
        <v>2</v>
      </c>
      <c r="O4" s="210" t="s">
        <v>30</v>
      </c>
      <c r="P4" s="211" t="s">
        <v>2</v>
      </c>
      <c r="Q4" s="212" t="s">
        <v>30</v>
      </c>
      <c r="R4" s="446"/>
      <c r="S4" s="460"/>
      <c r="T4" s="394"/>
      <c r="U4" s="444"/>
    </row>
    <row r="5" spans="1:22" s="119" customFormat="1" ht="29" x14ac:dyDescent="0.3">
      <c r="A5" s="262" t="s">
        <v>229</v>
      </c>
      <c r="B5" s="262" t="s">
        <v>229</v>
      </c>
      <c r="C5" s="296" t="s">
        <v>858</v>
      </c>
      <c r="D5" s="217">
        <v>0</v>
      </c>
      <c r="E5" s="175" t="s">
        <v>90</v>
      </c>
      <c r="F5" s="503" t="s">
        <v>1018</v>
      </c>
      <c r="G5" s="509" t="s">
        <v>31</v>
      </c>
      <c r="H5" s="169" t="s">
        <v>860</v>
      </c>
      <c r="I5" s="195">
        <v>45635</v>
      </c>
      <c r="J5" s="195"/>
      <c r="K5" s="279">
        <v>1241.8</v>
      </c>
      <c r="L5" s="79"/>
      <c r="M5" s="279">
        <v>1241.8</v>
      </c>
      <c r="N5" s="194">
        <v>0</v>
      </c>
      <c r="O5" s="305">
        <v>200</v>
      </c>
      <c r="P5" s="293">
        <v>0</v>
      </c>
      <c r="Q5" s="130">
        <v>0</v>
      </c>
      <c r="R5" s="307">
        <f>(N5*O5)+(P5*Q5)</f>
        <v>0</v>
      </c>
      <c r="S5" s="306">
        <f>M5+R5</f>
        <v>1241.8</v>
      </c>
      <c r="T5" s="306">
        <f>S5</f>
        <v>1241.8</v>
      </c>
      <c r="U5" s="169"/>
      <c r="V5" s="94"/>
    </row>
    <row r="6" spans="1:22" ht="29" x14ac:dyDescent="0.35">
      <c r="A6" s="262" t="s">
        <v>229</v>
      </c>
      <c r="B6" s="262" t="s">
        <v>229</v>
      </c>
      <c r="C6" s="296" t="s">
        <v>858</v>
      </c>
      <c r="D6" s="217">
        <v>0</v>
      </c>
      <c r="E6" s="175" t="s">
        <v>90</v>
      </c>
      <c r="F6" s="504"/>
      <c r="G6" s="514"/>
      <c r="H6" s="169" t="s">
        <v>863</v>
      </c>
      <c r="J6" s="195">
        <v>45637</v>
      </c>
      <c r="K6" s="265"/>
      <c r="L6" s="279">
        <v>1503.07</v>
      </c>
      <c r="M6" s="279">
        <v>1503.07</v>
      </c>
      <c r="N6" s="194">
        <v>0</v>
      </c>
      <c r="O6" s="305">
        <v>200</v>
      </c>
      <c r="P6" s="293">
        <v>0</v>
      </c>
      <c r="Q6" s="130">
        <v>0</v>
      </c>
      <c r="R6" s="307">
        <f t="shared" ref="R6:R15" si="0">N6*O6+P6*Q6</f>
        <v>0</v>
      </c>
      <c r="S6" s="306">
        <f t="shared" ref="S6:S14" si="1">M6+R6</f>
        <v>1503.07</v>
      </c>
      <c r="T6" s="306">
        <f t="shared" ref="T6:T15" si="2">S6</f>
        <v>1503.07</v>
      </c>
      <c r="U6" s="169"/>
      <c r="V6" s="94"/>
    </row>
    <row r="7" spans="1:22" ht="29" x14ac:dyDescent="0.3">
      <c r="A7" s="262" t="s">
        <v>229</v>
      </c>
      <c r="B7" s="262" t="s">
        <v>229</v>
      </c>
      <c r="C7" s="164" t="s">
        <v>858</v>
      </c>
      <c r="D7" s="217">
        <v>0</v>
      </c>
      <c r="E7" s="175" t="s">
        <v>90</v>
      </c>
      <c r="F7" s="191" t="s">
        <v>1018</v>
      </c>
      <c r="G7" s="215" t="s">
        <v>31</v>
      </c>
      <c r="H7" s="169" t="s">
        <v>861</v>
      </c>
      <c r="I7" s="195">
        <v>45634</v>
      </c>
      <c r="J7" s="264"/>
      <c r="K7" s="280">
        <f>M7</f>
        <v>500</v>
      </c>
      <c r="L7" s="265"/>
      <c r="M7" s="280">
        <v>500</v>
      </c>
      <c r="N7" s="194">
        <v>0</v>
      </c>
      <c r="O7" s="305">
        <v>200</v>
      </c>
      <c r="P7" s="293">
        <v>0</v>
      </c>
      <c r="Q7" s="130">
        <v>0</v>
      </c>
      <c r="R7" s="307">
        <f t="shared" ref="R7" si="3">N7*O7+P7*Q7</f>
        <v>0</v>
      </c>
      <c r="S7" s="306">
        <f t="shared" ref="S7" si="4">M7+R7</f>
        <v>500</v>
      </c>
      <c r="T7" s="306">
        <f t="shared" ref="T7" si="5">S7</f>
        <v>500</v>
      </c>
      <c r="U7" s="169" t="s">
        <v>937</v>
      </c>
      <c r="V7" s="94"/>
    </row>
    <row r="8" spans="1:22" x14ac:dyDescent="0.3">
      <c r="A8" s="126" t="s">
        <v>250</v>
      </c>
      <c r="B8" s="126" t="s">
        <v>250</v>
      </c>
      <c r="C8" s="164" t="s">
        <v>378</v>
      </c>
      <c r="D8" s="304">
        <v>0</v>
      </c>
      <c r="E8" s="175" t="s">
        <v>896</v>
      </c>
      <c r="F8" s="486" t="s">
        <v>1019</v>
      </c>
      <c r="G8" s="215" t="s">
        <v>31</v>
      </c>
      <c r="H8" s="169" t="s">
        <v>1016</v>
      </c>
      <c r="I8" s="195">
        <v>45632</v>
      </c>
      <c r="J8" s="264"/>
      <c r="K8" s="265">
        <v>2616.17</v>
      </c>
      <c r="L8" s="265"/>
      <c r="M8" s="280">
        <v>2616.17</v>
      </c>
      <c r="N8" s="194">
        <v>0</v>
      </c>
      <c r="O8" s="305">
        <v>200</v>
      </c>
      <c r="P8" s="293">
        <v>0</v>
      </c>
      <c r="Q8" s="130">
        <v>0</v>
      </c>
      <c r="R8" s="307">
        <f t="shared" si="0"/>
        <v>0</v>
      </c>
      <c r="S8" s="306">
        <f t="shared" si="1"/>
        <v>2616.17</v>
      </c>
      <c r="T8" s="306">
        <f t="shared" si="2"/>
        <v>2616.17</v>
      </c>
      <c r="U8" s="169"/>
      <c r="V8" s="94"/>
    </row>
    <row r="9" spans="1:22" x14ac:dyDescent="0.3">
      <c r="A9" s="126" t="s">
        <v>250</v>
      </c>
      <c r="B9" s="126" t="s">
        <v>250</v>
      </c>
      <c r="C9" s="194" t="s">
        <v>378</v>
      </c>
      <c r="D9" s="304">
        <v>0</v>
      </c>
      <c r="E9" s="175" t="s">
        <v>896</v>
      </c>
      <c r="F9" s="488"/>
      <c r="G9" s="215" t="s">
        <v>31</v>
      </c>
      <c r="H9" s="169" t="s">
        <v>863</v>
      </c>
      <c r="I9" s="195">
        <v>45636</v>
      </c>
      <c r="J9" s="264"/>
      <c r="K9" s="265"/>
      <c r="L9" s="280">
        <v>2125.77</v>
      </c>
      <c r="M9" s="280">
        <v>2125.77</v>
      </c>
      <c r="N9" s="194">
        <v>0</v>
      </c>
      <c r="O9" s="305">
        <v>200</v>
      </c>
      <c r="P9" s="293">
        <v>0</v>
      </c>
      <c r="Q9" s="130">
        <v>0</v>
      </c>
      <c r="R9" s="307">
        <f t="shared" si="0"/>
        <v>0</v>
      </c>
      <c r="S9" s="306">
        <f t="shared" si="1"/>
        <v>2125.77</v>
      </c>
      <c r="T9" s="306">
        <f t="shared" si="2"/>
        <v>2125.77</v>
      </c>
      <c r="U9" s="169"/>
      <c r="V9" s="94"/>
    </row>
    <row r="10" spans="1:22" ht="42" customHeight="1" x14ac:dyDescent="0.3">
      <c r="A10" s="126" t="s">
        <v>250</v>
      </c>
      <c r="B10" s="215" t="s">
        <v>922</v>
      </c>
      <c r="C10" s="296" t="s">
        <v>323</v>
      </c>
      <c r="D10" s="217">
        <v>87</v>
      </c>
      <c r="E10" s="175" t="s">
        <v>1015</v>
      </c>
      <c r="F10" s="175" t="s">
        <v>1020</v>
      </c>
      <c r="G10" s="215" t="s">
        <v>31</v>
      </c>
      <c r="H10" s="169" t="s">
        <v>867</v>
      </c>
      <c r="I10" s="195">
        <v>45630</v>
      </c>
      <c r="J10" s="264">
        <v>45631</v>
      </c>
      <c r="K10" s="265">
        <f t="shared" ref="K10:K15" si="6">L10</f>
        <v>700.14499999999998</v>
      </c>
      <c r="L10" s="265">
        <f t="shared" ref="L10:L15" si="7">M10/2</f>
        <v>700.14499999999998</v>
      </c>
      <c r="M10" s="280">
        <v>1400.29</v>
      </c>
      <c r="N10" s="194">
        <f>(J10-I10)+1</f>
        <v>2</v>
      </c>
      <c r="O10" s="305">
        <v>200</v>
      </c>
      <c r="P10" s="293">
        <v>0</v>
      </c>
      <c r="Q10" s="130">
        <v>0</v>
      </c>
      <c r="R10" s="307">
        <f t="shared" si="0"/>
        <v>400</v>
      </c>
      <c r="S10" s="306">
        <f t="shared" si="1"/>
        <v>1800.29</v>
      </c>
      <c r="T10" s="306">
        <f t="shared" si="2"/>
        <v>1800.29</v>
      </c>
      <c r="U10" s="169"/>
      <c r="V10" s="94"/>
    </row>
    <row r="11" spans="1:22" ht="34.5" customHeight="1" x14ac:dyDescent="0.3">
      <c r="A11" s="262" t="s">
        <v>229</v>
      </c>
      <c r="B11" s="126" t="s">
        <v>250</v>
      </c>
      <c r="C11" s="164" t="s">
        <v>873</v>
      </c>
      <c r="D11" s="217">
        <v>383</v>
      </c>
      <c r="E11" s="175" t="s">
        <v>703</v>
      </c>
      <c r="F11" s="175" t="s">
        <v>1020</v>
      </c>
      <c r="G11" s="215" t="s">
        <v>31</v>
      </c>
      <c r="H11" s="169" t="s">
        <v>867</v>
      </c>
      <c r="I11" s="195">
        <v>45630</v>
      </c>
      <c r="J11" s="264">
        <v>45631</v>
      </c>
      <c r="K11" s="265">
        <f t="shared" si="6"/>
        <v>649.14</v>
      </c>
      <c r="L11" s="265">
        <f t="shared" si="7"/>
        <v>649.14</v>
      </c>
      <c r="M11" s="280">
        <v>1298.28</v>
      </c>
      <c r="N11" s="194">
        <f t="shared" ref="N11:N15" si="8">(J11-I11)+1</f>
        <v>2</v>
      </c>
      <c r="O11" s="305">
        <v>200</v>
      </c>
      <c r="P11" s="293">
        <v>0</v>
      </c>
      <c r="Q11" s="130">
        <v>0</v>
      </c>
      <c r="R11" s="307">
        <f t="shared" si="0"/>
        <v>400</v>
      </c>
      <c r="S11" s="306">
        <f t="shared" si="1"/>
        <v>1698.28</v>
      </c>
      <c r="T11" s="306">
        <f t="shared" si="2"/>
        <v>1698.28</v>
      </c>
      <c r="U11" s="169"/>
      <c r="V11" s="94"/>
    </row>
    <row r="12" spans="1:22" s="167" customFormat="1" ht="43.5" x14ac:dyDescent="0.3">
      <c r="A12" s="126" t="s">
        <v>229</v>
      </c>
      <c r="B12" s="126" t="s">
        <v>362</v>
      </c>
      <c r="C12" s="169" t="s">
        <v>1013</v>
      </c>
      <c r="D12" s="167">
        <v>393</v>
      </c>
      <c r="E12" s="175" t="s">
        <v>796</v>
      </c>
      <c r="F12" s="191" t="s">
        <v>1018</v>
      </c>
      <c r="G12" s="215" t="s">
        <v>31</v>
      </c>
      <c r="H12" s="169" t="s">
        <v>860</v>
      </c>
      <c r="I12" s="195">
        <v>45634</v>
      </c>
      <c r="J12" s="264">
        <v>45636</v>
      </c>
      <c r="K12" s="265">
        <f t="shared" si="6"/>
        <v>1074.1400000000001</v>
      </c>
      <c r="L12" s="265">
        <f t="shared" si="7"/>
        <v>1074.1400000000001</v>
      </c>
      <c r="M12" s="265">
        <v>2148.2800000000002</v>
      </c>
      <c r="N12" s="194">
        <f t="shared" si="8"/>
        <v>3</v>
      </c>
      <c r="O12" s="305">
        <v>200</v>
      </c>
      <c r="P12" s="293">
        <v>0</v>
      </c>
      <c r="Q12" s="130">
        <v>0</v>
      </c>
      <c r="R12" s="307">
        <f t="shared" si="0"/>
        <v>600</v>
      </c>
      <c r="S12" s="306">
        <f t="shared" si="1"/>
        <v>2748.28</v>
      </c>
      <c r="T12" s="306">
        <f t="shared" si="2"/>
        <v>2748.28</v>
      </c>
      <c r="U12" s="169"/>
      <c r="V12" s="94"/>
    </row>
    <row r="13" spans="1:22" ht="29" x14ac:dyDescent="0.3">
      <c r="A13" s="285" t="s">
        <v>229</v>
      </c>
      <c r="B13" s="271" t="s">
        <v>1014</v>
      </c>
      <c r="C13" s="194" t="s">
        <v>1005</v>
      </c>
      <c r="D13" s="169">
        <v>127</v>
      </c>
      <c r="E13" s="303" t="s">
        <v>751</v>
      </c>
      <c r="F13" s="175" t="s">
        <v>1017</v>
      </c>
      <c r="G13" s="215" t="s">
        <v>31</v>
      </c>
      <c r="H13" s="169" t="s">
        <v>865</v>
      </c>
      <c r="I13" s="195">
        <v>45630</v>
      </c>
      <c r="J13" s="264">
        <v>45632</v>
      </c>
      <c r="K13" s="265">
        <f t="shared" si="6"/>
        <v>1553.5650000000001</v>
      </c>
      <c r="L13" s="265">
        <f t="shared" si="7"/>
        <v>1553.5650000000001</v>
      </c>
      <c r="M13" s="265">
        <v>3107.13</v>
      </c>
      <c r="N13" s="194">
        <f t="shared" si="8"/>
        <v>3</v>
      </c>
      <c r="O13" s="305">
        <v>200</v>
      </c>
      <c r="P13" s="293">
        <v>0</v>
      </c>
      <c r="Q13" s="130">
        <v>0</v>
      </c>
      <c r="R13" s="307">
        <f t="shared" si="0"/>
        <v>600</v>
      </c>
      <c r="S13" s="306">
        <f t="shared" si="1"/>
        <v>3707.13</v>
      </c>
      <c r="T13" s="306">
        <f t="shared" si="2"/>
        <v>3707.13</v>
      </c>
      <c r="U13" s="169"/>
      <c r="V13" s="94"/>
    </row>
    <row r="14" spans="1:22" ht="101.5" x14ac:dyDescent="0.35">
      <c r="A14" s="262" t="s">
        <v>229</v>
      </c>
      <c r="B14" s="262" t="s">
        <v>229</v>
      </c>
      <c r="C14" s="194" t="s">
        <v>858</v>
      </c>
      <c r="D14" s="217">
        <v>0</v>
      </c>
      <c r="E14" s="175" t="s">
        <v>90</v>
      </c>
      <c r="F14" s="175" t="s">
        <v>1022</v>
      </c>
      <c r="G14" s="215" t="s">
        <v>31</v>
      </c>
      <c r="H14" s="169" t="s">
        <v>865</v>
      </c>
      <c r="I14" s="195">
        <v>45642</v>
      </c>
      <c r="J14" s="264">
        <v>45644</v>
      </c>
      <c r="K14" s="265">
        <f t="shared" si="6"/>
        <v>1395.125</v>
      </c>
      <c r="L14" s="265">
        <f t="shared" si="7"/>
        <v>1395.125</v>
      </c>
      <c r="M14" s="280">
        <v>2790.25</v>
      </c>
      <c r="N14" s="194">
        <v>0</v>
      </c>
      <c r="O14" s="305">
        <v>200</v>
      </c>
      <c r="P14" s="293">
        <v>0</v>
      </c>
      <c r="Q14" s="130">
        <v>0</v>
      </c>
      <c r="R14" s="307">
        <f t="shared" si="0"/>
        <v>0</v>
      </c>
      <c r="S14" s="306">
        <f t="shared" si="1"/>
        <v>2790.25</v>
      </c>
      <c r="T14" s="306">
        <f t="shared" si="2"/>
        <v>2790.25</v>
      </c>
      <c r="U14" s="168"/>
      <c r="V14" s="44"/>
    </row>
    <row r="15" spans="1:22" ht="43.5" x14ac:dyDescent="0.35">
      <c r="A15" s="126" t="s">
        <v>250</v>
      </c>
      <c r="B15" s="215" t="s">
        <v>922</v>
      </c>
      <c r="C15" s="169" t="s">
        <v>343</v>
      </c>
      <c r="D15" s="169">
        <v>128</v>
      </c>
      <c r="E15" s="175" t="s">
        <v>842</v>
      </c>
      <c r="F15" s="221" t="s">
        <v>1021</v>
      </c>
      <c r="G15" s="215" t="s">
        <v>31</v>
      </c>
      <c r="H15" s="169" t="s">
        <v>867</v>
      </c>
      <c r="I15" s="195">
        <v>45636</v>
      </c>
      <c r="J15" s="264">
        <v>45637</v>
      </c>
      <c r="K15" s="265">
        <f t="shared" si="6"/>
        <v>1263.3549999999998</v>
      </c>
      <c r="L15" s="265">
        <f t="shared" si="7"/>
        <v>1263.3549999999998</v>
      </c>
      <c r="M15" s="280">
        <v>2526.7099999999996</v>
      </c>
      <c r="N15" s="194">
        <f t="shared" si="8"/>
        <v>2</v>
      </c>
      <c r="O15" s="305">
        <v>200</v>
      </c>
      <c r="P15" s="293">
        <v>0</v>
      </c>
      <c r="Q15" s="130">
        <v>0</v>
      </c>
      <c r="R15" s="307">
        <f t="shared" si="0"/>
        <v>400</v>
      </c>
      <c r="S15" s="306">
        <f>M15+R15</f>
        <v>2926.7099999999996</v>
      </c>
      <c r="T15" s="306">
        <f t="shared" si="2"/>
        <v>2926.7099999999996</v>
      </c>
      <c r="U15" s="168"/>
      <c r="V15" s="44"/>
    </row>
    <row r="16" spans="1:22" s="263" customFormat="1" ht="15" customHeight="1" x14ac:dyDescent="0.3">
      <c r="A16" s="262"/>
      <c r="B16" s="262"/>
      <c r="C16" s="164"/>
      <c r="D16" s="247"/>
      <c r="E16" s="175"/>
      <c r="F16" s="191"/>
      <c r="G16" s="76"/>
      <c r="H16" s="169"/>
      <c r="I16" s="288"/>
      <c r="J16" s="295"/>
      <c r="K16" s="280"/>
      <c r="L16" s="280"/>
      <c r="M16" s="280"/>
      <c r="N16" s="241"/>
      <c r="O16" s="281"/>
      <c r="P16" s="293"/>
      <c r="Q16" s="170"/>
      <c r="R16" s="240"/>
      <c r="S16" s="171"/>
      <c r="T16" s="171"/>
    </row>
    <row r="17" spans="1:20" s="263" customFormat="1" x14ac:dyDescent="0.3">
      <c r="A17" s="262"/>
      <c r="B17" s="289"/>
      <c r="C17" s="276"/>
      <c r="D17" s="267"/>
      <c r="E17" s="268"/>
      <c r="F17" s="191"/>
      <c r="G17" s="76"/>
      <c r="H17" s="169"/>
      <c r="I17" s="288"/>
      <c r="J17" s="295"/>
      <c r="K17" s="280"/>
      <c r="L17" s="280"/>
      <c r="M17" s="280"/>
      <c r="N17" s="241"/>
      <c r="O17" s="281"/>
      <c r="P17" s="293"/>
      <c r="Q17" s="170"/>
      <c r="R17" s="240"/>
      <c r="S17" s="171"/>
      <c r="T17" s="171"/>
    </row>
    <row r="18" spans="1:20" s="263" customFormat="1" ht="15" customHeight="1" x14ac:dyDescent="0.3">
      <c r="A18" s="126"/>
      <c r="B18" s="215"/>
      <c r="C18" s="169"/>
      <c r="D18" s="169"/>
      <c r="E18" s="175"/>
      <c r="F18" s="169"/>
      <c r="G18" s="76"/>
      <c r="H18" s="169"/>
      <c r="I18" s="288"/>
      <c r="J18" s="295"/>
      <c r="K18" s="280"/>
      <c r="L18" s="280"/>
      <c r="M18" s="280"/>
      <c r="N18" s="241"/>
      <c r="O18" s="281"/>
      <c r="P18" s="293"/>
      <c r="Q18" s="170"/>
      <c r="R18" s="240"/>
      <c r="S18" s="171"/>
      <c r="T18" s="171"/>
    </row>
    <row r="19" spans="1:20" s="263" customFormat="1" x14ac:dyDescent="0.3">
      <c r="A19" s="126"/>
      <c r="B19" s="215"/>
      <c r="C19" s="169"/>
      <c r="D19" s="169"/>
      <c r="E19" s="175"/>
      <c r="F19" s="175"/>
      <c r="G19" s="76"/>
      <c r="H19" s="169"/>
      <c r="I19" s="288"/>
      <c r="J19" s="295"/>
      <c r="K19" s="280"/>
      <c r="L19" s="280"/>
      <c r="M19" s="280"/>
      <c r="N19" s="241"/>
      <c r="O19" s="281"/>
      <c r="P19" s="293"/>
      <c r="Q19" s="170"/>
      <c r="R19" s="240"/>
      <c r="S19" s="171"/>
      <c r="T19" s="171"/>
    </row>
    <row r="20" spans="1:20" s="263" customFormat="1" x14ac:dyDescent="0.3">
      <c r="A20" s="126"/>
      <c r="B20" s="215"/>
      <c r="C20" s="169"/>
      <c r="D20" s="169"/>
      <c r="E20" s="175"/>
      <c r="F20" s="175"/>
      <c r="G20" s="76"/>
      <c r="H20" s="169"/>
      <c r="I20" s="288"/>
      <c r="J20" s="295"/>
      <c r="K20" s="280"/>
      <c r="L20" s="280"/>
      <c r="M20" s="280"/>
      <c r="N20" s="241"/>
      <c r="O20" s="281"/>
      <c r="P20" s="293"/>
      <c r="Q20" s="170"/>
      <c r="R20" s="240"/>
      <c r="S20" s="171"/>
      <c r="T20" s="171"/>
    </row>
    <row r="21" spans="1:20" s="263" customFormat="1" ht="15" customHeight="1" x14ac:dyDescent="0.3">
      <c r="A21" s="126"/>
      <c r="B21" s="126"/>
      <c r="C21" s="169"/>
      <c r="D21" s="94"/>
      <c r="E21" s="175"/>
      <c r="F21" s="169"/>
      <c r="G21" s="76"/>
      <c r="H21" s="169"/>
      <c r="I21" s="288"/>
      <c r="J21" s="295"/>
      <c r="K21" s="280"/>
      <c r="L21" s="280"/>
      <c r="M21" s="280"/>
      <c r="N21" s="241"/>
      <c r="O21" s="281"/>
      <c r="P21" s="293"/>
      <c r="Q21" s="170"/>
      <c r="R21" s="240"/>
      <c r="S21" s="171"/>
      <c r="T21" s="171"/>
    </row>
    <row r="22" spans="1:20" s="263" customFormat="1" ht="15" customHeight="1" x14ac:dyDescent="0.3">
      <c r="A22" s="154"/>
      <c r="B22" s="215"/>
      <c r="C22" s="164"/>
      <c r="D22" s="217"/>
      <c r="E22" s="175"/>
      <c r="F22" s="169"/>
      <c r="G22" s="76"/>
      <c r="H22" s="169"/>
      <c r="I22" s="288"/>
      <c r="J22" s="295"/>
      <c r="K22" s="280"/>
      <c r="L22" s="280"/>
      <c r="M22" s="280"/>
      <c r="N22" s="241"/>
      <c r="O22" s="281"/>
      <c r="P22" s="293"/>
      <c r="Q22" s="170"/>
      <c r="R22" s="240"/>
      <c r="S22" s="171"/>
      <c r="T22" s="171"/>
    </row>
    <row r="23" spans="1:20" s="263" customFormat="1" ht="15" customHeight="1" x14ac:dyDescent="0.3">
      <c r="C23" s="169"/>
      <c r="D23" s="169"/>
      <c r="E23" s="175"/>
      <c r="G23" s="76"/>
      <c r="H23" s="169"/>
      <c r="M23" s="201"/>
      <c r="N23" s="269"/>
      <c r="R23" s="292"/>
    </row>
    <row r="24" spans="1:20" s="263" customFormat="1" ht="15" customHeight="1" x14ac:dyDescent="0.3">
      <c r="C24" s="169"/>
      <c r="E24" s="175"/>
      <c r="M24" s="201"/>
      <c r="N24" s="269"/>
    </row>
    <row r="25" spans="1:20" s="263" customFormat="1" ht="15" customHeight="1" x14ac:dyDescent="0.3">
      <c r="E25" s="175"/>
      <c r="M25" s="278">
        <f>SUM(M5:M16)</f>
        <v>21257.75</v>
      </c>
      <c r="N25" s="269"/>
      <c r="S25" s="282">
        <f>SUM(S5:S24)</f>
        <v>23657.75</v>
      </c>
    </row>
    <row r="28" spans="1:20" x14ac:dyDescent="0.35">
      <c r="H28" s="208"/>
    </row>
    <row r="33" spans="1:5" x14ac:dyDescent="0.35">
      <c r="A33" s="165"/>
      <c r="C33" s="221"/>
      <c r="D33" s="166"/>
      <c r="E33"/>
    </row>
    <row r="34" spans="1:5" x14ac:dyDescent="0.35">
      <c r="A34" s="165"/>
      <c r="C34" s="221"/>
      <c r="D34" s="166"/>
      <c r="E34"/>
    </row>
    <row r="35" spans="1:5" x14ac:dyDescent="0.35">
      <c r="A35" s="165"/>
      <c r="C35" s="221"/>
      <c r="D35" s="166"/>
      <c r="E35"/>
    </row>
    <row r="36" spans="1:5" x14ac:dyDescent="0.35">
      <c r="A36" s="165"/>
      <c r="C36" s="221"/>
      <c r="D36" s="166"/>
      <c r="E36"/>
    </row>
  </sheetData>
  <mergeCells count="28">
    <mergeCell ref="R3:R4"/>
    <mergeCell ref="H3:H4"/>
    <mergeCell ref="N3:O3"/>
    <mergeCell ref="F5:F6"/>
    <mergeCell ref="G5:G6"/>
    <mergeCell ref="F8:F9"/>
    <mergeCell ref="P3:Q3"/>
    <mergeCell ref="I3:I4"/>
    <mergeCell ref="J3:J4"/>
    <mergeCell ref="K3:K4"/>
    <mergeCell ref="L3:L4"/>
    <mergeCell ref="M3:M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S3:S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30C57-98ED-4141-8A45-742183819CF3}">
  <dimension ref="A1:V27"/>
  <sheetViews>
    <sheetView showGridLines="0" zoomScale="90" zoomScaleNormal="90" workbookViewId="0">
      <selection activeCell="D6" sqref="D6"/>
    </sheetView>
  </sheetViews>
  <sheetFormatPr defaultRowHeight="14.5" x14ac:dyDescent="0.35"/>
  <cols>
    <col min="1" max="1" width="38.5" bestFit="1" customWidth="1"/>
    <col min="2" max="2" width="43.33203125" customWidth="1"/>
    <col min="3" max="3" width="38.58203125" style="165" customWidth="1"/>
    <col min="4" max="4" width="12.5" customWidth="1"/>
    <col min="5" max="5" width="15" style="221" customWidth="1"/>
    <col min="6" max="6" width="32" style="166" customWidth="1"/>
    <col min="7" max="7" width="13.83203125" bestFit="1" customWidth="1"/>
    <col min="8" max="8" width="29" style="165" customWidth="1"/>
    <col min="9" max="9" width="11.5" style="165" bestFit="1" customWidth="1"/>
    <col min="10" max="10" width="10.33203125" style="165" bestFit="1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</row>
    <row r="2" spans="1:22" x14ac:dyDescent="0.35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94"/>
      <c r="J2" s="394"/>
      <c r="K2" s="442" t="s">
        <v>7</v>
      </c>
      <c r="L2" s="442"/>
      <c r="M2" s="442"/>
      <c r="N2" s="337" t="s">
        <v>1</v>
      </c>
      <c r="O2" s="337"/>
      <c r="P2" s="337"/>
      <c r="Q2" s="337"/>
      <c r="R2" s="337"/>
      <c r="S2" s="337"/>
      <c r="T2" s="337" t="s">
        <v>8</v>
      </c>
      <c r="U2" s="443" t="s">
        <v>9</v>
      </c>
    </row>
    <row r="3" spans="1:22" s="167" customFormat="1" x14ac:dyDescent="0.3">
      <c r="A3" s="445" t="s">
        <v>10</v>
      </c>
      <c r="B3" s="445" t="s">
        <v>11</v>
      </c>
      <c r="C3" s="447" t="s">
        <v>12</v>
      </c>
      <c r="D3" s="445" t="s">
        <v>13</v>
      </c>
      <c r="E3" s="449" t="s">
        <v>14</v>
      </c>
      <c r="F3" s="447" t="s">
        <v>15</v>
      </c>
      <c r="G3" s="445" t="s">
        <v>16</v>
      </c>
      <c r="H3" s="458" t="s">
        <v>859</v>
      </c>
      <c r="I3" s="461" t="s">
        <v>19</v>
      </c>
      <c r="J3" s="461" t="s">
        <v>20</v>
      </c>
      <c r="K3" s="463" t="s">
        <v>21</v>
      </c>
      <c r="L3" s="465" t="s">
        <v>22</v>
      </c>
      <c r="M3" s="467" t="s">
        <v>23</v>
      </c>
      <c r="N3" s="467" t="s">
        <v>24</v>
      </c>
      <c r="O3" s="467"/>
      <c r="P3" s="453" t="s">
        <v>25</v>
      </c>
      <c r="Q3" s="453"/>
      <c r="R3" s="445" t="s">
        <v>26</v>
      </c>
      <c r="S3" s="453" t="s">
        <v>23</v>
      </c>
      <c r="T3" s="337"/>
      <c r="U3" s="443"/>
    </row>
    <row r="4" spans="1:22" s="167" customFormat="1" x14ac:dyDescent="0.3">
      <c r="A4" s="446"/>
      <c r="B4" s="446"/>
      <c r="C4" s="448"/>
      <c r="D4" s="446"/>
      <c r="E4" s="450"/>
      <c r="F4" s="448"/>
      <c r="G4" s="446"/>
      <c r="H4" s="459"/>
      <c r="I4" s="462"/>
      <c r="J4" s="462"/>
      <c r="K4" s="464"/>
      <c r="L4" s="466"/>
      <c r="M4" s="468"/>
      <c r="N4" s="209" t="s">
        <v>2</v>
      </c>
      <c r="O4" s="210" t="s">
        <v>30</v>
      </c>
      <c r="P4" s="211" t="s">
        <v>2</v>
      </c>
      <c r="Q4" s="212" t="s">
        <v>30</v>
      </c>
      <c r="R4" s="446"/>
      <c r="S4" s="460"/>
      <c r="T4" s="394"/>
      <c r="U4" s="444"/>
    </row>
    <row r="5" spans="1:22" ht="29" x14ac:dyDescent="0.35">
      <c r="A5" s="262" t="s">
        <v>229</v>
      </c>
      <c r="B5" s="308" t="s">
        <v>993</v>
      </c>
      <c r="C5" s="194" t="s">
        <v>1023</v>
      </c>
      <c r="D5" s="217">
        <v>414</v>
      </c>
      <c r="E5" s="175" t="s">
        <v>1024</v>
      </c>
      <c r="F5" s="175" t="s">
        <v>1025</v>
      </c>
      <c r="G5" s="215" t="s">
        <v>31</v>
      </c>
      <c r="H5" s="169" t="s">
        <v>867</v>
      </c>
      <c r="I5" s="195">
        <v>45670</v>
      </c>
      <c r="J5" s="264">
        <v>45672</v>
      </c>
      <c r="K5" s="265">
        <v>944.08</v>
      </c>
      <c r="L5" s="265">
        <v>909.07</v>
      </c>
      <c r="M5" s="280">
        <f>K5+L5</f>
        <v>1853.15</v>
      </c>
      <c r="N5" s="194">
        <f>(J5-I5)+1</f>
        <v>3</v>
      </c>
      <c r="O5" s="305">
        <v>200</v>
      </c>
      <c r="P5" s="293">
        <v>0</v>
      </c>
      <c r="Q5" s="130">
        <v>0</v>
      </c>
      <c r="R5" s="307">
        <f t="shared" ref="R5" si="0">N5*O5+P5*Q5</f>
        <v>600</v>
      </c>
      <c r="S5" s="306">
        <f>M5+R5</f>
        <v>2453.15</v>
      </c>
      <c r="T5" s="306">
        <f t="shared" ref="T5" si="1">S5</f>
        <v>2453.15</v>
      </c>
      <c r="U5" s="168"/>
      <c r="V5" s="44"/>
    </row>
    <row r="6" spans="1:22" x14ac:dyDescent="0.35">
      <c r="A6" s="126"/>
      <c r="B6" s="215"/>
      <c r="C6" s="169"/>
      <c r="D6" s="169"/>
      <c r="E6" s="175"/>
      <c r="F6" s="221"/>
      <c r="G6" s="215"/>
      <c r="H6" s="169"/>
      <c r="I6" s="195"/>
      <c r="J6" s="264"/>
      <c r="K6" s="265"/>
      <c r="L6" s="265"/>
      <c r="M6" s="280"/>
      <c r="N6" s="194"/>
      <c r="O6" s="305"/>
      <c r="P6" s="293"/>
      <c r="Q6" s="130"/>
      <c r="R6" s="307"/>
      <c r="S6" s="306"/>
      <c r="T6" s="306"/>
      <c r="U6" s="168"/>
      <c r="V6" s="44"/>
    </row>
    <row r="7" spans="1:22" s="263" customFormat="1" ht="15" customHeight="1" x14ac:dyDescent="0.3">
      <c r="A7" s="262"/>
      <c r="B7" s="262"/>
      <c r="C7" s="164"/>
      <c r="D7" s="247"/>
      <c r="E7" s="175"/>
      <c r="F7" s="191"/>
      <c r="G7" s="76"/>
      <c r="H7" s="169"/>
      <c r="I7" s="288"/>
      <c r="J7" s="295"/>
      <c r="K7" s="280"/>
      <c r="L7" s="280"/>
      <c r="M7" s="280"/>
      <c r="N7" s="241"/>
      <c r="O7" s="281"/>
      <c r="P7" s="293"/>
      <c r="Q7" s="170"/>
      <c r="R7" s="240"/>
      <c r="S7" s="171"/>
      <c r="T7" s="171"/>
    </row>
    <row r="8" spans="1:22" s="263" customFormat="1" x14ac:dyDescent="0.3">
      <c r="A8" s="262"/>
      <c r="B8" s="289"/>
      <c r="C8" s="276"/>
      <c r="D8" s="267"/>
      <c r="E8" s="268"/>
      <c r="F8" s="191"/>
      <c r="G8" s="76"/>
      <c r="H8" s="169"/>
      <c r="I8" s="288"/>
      <c r="J8" s="295"/>
      <c r="K8" s="280"/>
      <c r="L8" s="280"/>
      <c r="M8" s="280"/>
      <c r="N8" s="241"/>
      <c r="O8" s="281"/>
      <c r="P8" s="293"/>
      <c r="Q8" s="170"/>
      <c r="R8" s="240"/>
      <c r="S8" s="171"/>
      <c r="T8" s="171"/>
    </row>
    <row r="9" spans="1:22" s="263" customFormat="1" ht="15" customHeight="1" x14ac:dyDescent="0.3">
      <c r="A9" s="126"/>
      <c r="B9" s="215"/>
      <c r="C9" s="169"/>
      <c r="D9" s="169"/>
      <c r="E9" s="175"/>
      <c r="F9" s="169"/>
      <c r="G9" s="76"/>
      <c r="H9" s="169"/>
      <c r="I9" s="288"/>
      <c r="J9" s="295"/>
      <c r="K9" s="280"/>
      <c r="L9" s="280"/>
      <c r="M9" s="280"/>
      <c r="N9" s="241"/>
      <c r="O9" s="281"/>
      <c r="P9" s="293"/>
      <c r="Q9" s="170"/>
      <c r="R9" s="240"/>
      <c r="S9" s="171"/>
      <c r="T9" s="171"/>
    </row>
    <row r="10" spans="1:22" s="263" customFormat="1" x14ac:dyDescent="0.3">
      <c r="A10" s="126"/>
      <c r="B10" s="215"/>
      <c r="C10" s="169"/>
      <c r="D10" s="169"/>
      <c r="E10" s="175"/>
      <c r="F10" s="175"/>
      <c r="G10" s="76"/>
      <c r="H10" s="169"/>
      <c r="I10" s="288"/>
      <c r="J10" s="295"/>
      <c r="K10" s="280"/>
      <c r="L10" s="280"/>
      <c r="M10" s="280"/>
      <c r="N10" s="241"/>
      <c r="O10" s="281"/>
      <c r="P10" s="293"/>
      <c r="Q10" s="170"/>
      <c r="R10" s="240"/>
      <c r="S10" s="171"/>
      <c r="T10" s="171"/>
    </row>
    <row r="11" spans="1:22" s="263" customFormat="1" x14ac:dyDescent="0.3">
      <c r="A11" s="126"/>
      <c r="B11" s="215"/>
      <c r="C11" s="169"/>
      <c r="D11" s="169"/>
      <c r="E11" s="175"/>
      <c r="F11" s="175"/>
      <c r="G11" s="76"/>
      <c r="H11" s="169"/>
      <c r="I11" s="288"/>
      <c r="J11" s="295"/>
      <c r="K11" s="280"/>
      <c r="L11" s="280"/>
      <c r="M11" s="280"/>
      <c r="N11" s="241"/>
      <c r="O11" s="281"/>
      <c r="P11" s="293"/>
      <c r="Q11" s="170"/>
      <c r="R11" s="240"/>
      <c r="S11" s="171"/>
      <c r="T11" s="171"/>
    </row>
    <row r="12" spans="1:22" s="263" customFormat="1" ht="15" customHeight="1" x14ac:dyDescent="0.3">
      <c r="A12" s="126"/>
      <c r="B12" s="126"/>
      <c r="C12" s="169"/>
      <c r="D12" s="94"/>
      <c r="E12" s="175"/>
      <c r="F12" s="169"/>
      <c r="G12" s="76"/>
      <c r="H12" s="169"/>
      <c r="I12" s="288"/>
      <c r="J12" s="295"/>
      <c r="K12" s="280"/>
      <c r="L12" s="280"/>
      <c r="M12" s="280"/>
      <c r="N12" s="241"/>
      <c r="O12" s="281"/>
      <c r="P12" s="293"/>
      <c r="Q12" s="170"/>
      <c r="R12" s="240"/>
      <c r="S12" s="171"/>
      <c r="T12" s="171"/>
    </row>
    <row r="13" spans="1:22" s="263" customFormat="1" ht="15" customHeight="1" x14ac:dyDescent="0.3">
      <c r="A13" s="154"/>
      <c r="B13" s="215"/>
      <c r="C13" s="164"/>
      <c r="D13" s="217"/>
      <c r="E13" s="175"/>
      <c r="F13" s="169"/>
      <c r="G13" s="76"/>
      <c r="H13" s="169"/>
      <c r="I13" s="288"/>
      <c r="J13" s="295"/>
      <c r="K13" s="280"/>
      <c r="L13" s="280"/>
      <c r="M13" s="280"/>
      <c r="N13" s="241"/>
      <c r="O13" s="281"/>
      <c r="P13" s="293"/>
      <c r="Q13" s="170"/>
      <c r="R13" s="240"/>
      <c r="S13" s="171"/>
      <c r="T13" s="171"/>
    </row>
    <row r="14" spans="1:22" s="263" customFormat="1" ht="15" customHeight="1" x14ac:dyDescent="0.3">
      <c r="C14" s="169"/>
      <c r="D14" s="169"/>
      <c r="E14" s="175"/>
      <c r="G14" s="76"/>
      <c r="H14" s="169"/>
      <c r="M14" s="201"/>
      <c r="N14" s="269"/>
      <c r="R14" s="292"/>
    </row>
    <row r="15" spans="1:22" s="263" customFormat="1" ht="15" customHeight="1" x14ac:dyDescent="0.3">
      <c r="C15" s="169"/>
      <c r="E15" s="175"/>
      <c r="M15" s="201"/>
      <c r="N15" s="269"/>
    </row>
    <row r="16" spans="1:22" s="263" customFormat="1" ht="15" customHeight="1" x14ac:dyDescent="0.3">
      <c r="E16" s="175"/>
      <c r="M16" s="278">
        <f>SUM(M5:M7)</f>
        <v>1853.15</v>
      </c>
      <c r="N16" s="269"/>
      <c r="S16" s="282">
        <f>SUM(S5:S15)</f>
        <v>2453.15</v>
      </c>
    </row>
    <row r="19" spans="1:22" s="165" customFormat="1" x14ac:dyDescent="0.35">
      <c r="A19"/>
      <c r="B19"/>
      <c r="D19"/>
      <c r="E19" s="221"/>
      <c r="F19" s="166"/>
      <c r="G19"/>
      <c r="H19" s="208"/>
      <c r="K19" s="208"/>
      <c r="L19" s="208"/>
      <c r="N19" s="166"/>
      <c r="P19"/>
      <c r="Q19"/>
      <c r="R19"/>
      <c r="S19"/>
      <c r="T19"/>
      <c r="V19"/>
    </row>
    <row r="24" spans="1:22" s="166" customFormat="1" x14ac:dyDescent="0.35">
      <c r="A24" s="165"/>
      <c r="B24"/>
      <c r="C24" s="221"/>
      <c r="E24"/>
      <c r="G24"/>
      <c r="H24" s="165"/>
      <c r="I24" s="165"/>
      <c r="J24" s="165"/>
      <c r="K24" s="208"/>
      <c r="L24" s="208"/>
      <c r="M24" s="165"/>
      <c r="O24" s="165"/>
      <c r="P24"/>
      <c r="Q24"/>
      <c r="R24"/>
      <c r="S24"/>
      <c r="T24"/>
      <c r="U24" s="165"/>
      <c r="V24"/>
    </row>
    <row r="25" spans="1:22" s="166" customFormat="1" x14ac:dyDescent="0.35">
      <c r="A25" s="165"/>
      <c r="B25"/>
      <c r="C25" s="221"/>
      <c r="E25"/>
      <c r="G25"/>
      <c r="H25" s="165"/>
      <c r="I25" s="165"/>
      <c r="J25" s="165"/>
      <c r="K25" s="208"/>
      <c r="L25" s="208"/>
      <c r="M25" s="165"/>
      <c r="O25" s="165"/>
      <c r="P25"/>
      <c r="Q25"/>
      <c r="R25"/>
      <c r="S25"/>
      <c r="T25"/>
      <c r="U25" s="165"/>
      <c r="V25"/>
    </row>
    <row r="26" spans="1:22" s="166" customFormat="1" x14ac:dyDescent="0.35">
      <c r="A26" s="165"/>
      <c r="B26"/>
      <c r="C26" s="221"/>
      <c r="E26"/>
      <c r="G26"/>
      <c r="H26" s="165"/>
      <c r="I26" s="165"/>
      <c r="J26" s="165"/>
      <c r="K26" s="208"/>
      <c r="L26" s="208"/>
      <c r="M26" s="165"/>
      <c r="O26" s="165"/>
      <c r="P26"/>
      <c r="Q26"/>
      <c r="R26"/>
      <c r="S26"/>
      <c r="T26"/>
      <c r="U26" s="165"/>
      <c r="V26"/>
    </row>
    <row r="27" spans="1:22" s="166" customFormat="1" x14ac:dyDescent="0.35">
      <c r="A27" s="165"/>
      <c r="B27"/>
      <c r="C27" s="221"/>
      <c r="E27"/>
      <c r="G27"/>
      <c r="H27" s="165"/>
      <c r="I27" s="165"/>
      <c r="J27" s="165"/>
      <c r="K27" s="208"/>
      <c r="L27" s="208"/>
      <c r="M27" s="165"/>
      <c r="O27" s="165"/>
      <c r="P27"/>
      <c r="Q27"/>
      <c r="R27"/>
      <c r="S27"/>
      <c r="T27"/>
      <c r="U27" s="165"/>
      <c r="V27"/>
    </row>
  </sheetData>
  <mergeCells count="25"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P3:Q3"/>
    <mergeCell ref="R3:R4"/>
    <mergeCell ref="S3:S4"/>
    <mergeCell ref="I3:I4"/>
    <mergeCell ref="J3:J4"/>
    <mergeCell ref="K3:K4"/>
    <mergeCell ref="L3:L4"/>
    <mergeCell ref="M3:M4"/>
    <mergeCell ref="N3:O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89A21-191E-4BD2-A01E-FDE1E3C47B73}">
  <dimension ref="A1:V18"/>
  <sheetViews>
    <sheetView showGridLines="0" zoomScale="90" zoomScaleNormal="90" workbookViewId="0">
      <selection activeCell="F8" sqref="F8"/>
    </sheetView>
  </sheetViews>
  <sheetFormatPr defaultRowHeight="14.5" x14ac:dyDescent="0.35"/>
  <cols>
    <col min="1" max="1" width="38.5" bestFit="1" customWidth="1"/>
    <col min="2" max="2" width="43.33203125" customWidth="1"/>
    <col min="3" max="3" width="38.58203125" style="165" customWidth="1"/>
    <col min="4" max="4" width="12.5" customWidth="1"/>
    <col min="5" max="5" width="15" style="221" customWidth="1"/>
    <col min="6" max="6" width="32" style="166" customWidth="1"/>
    <col min="7" max="7" width="13.83203125" bestFit="1" customWidth="1"/>
    <col min="8" max="8" width="29" style="165" customWidth="1"/>
    <col min="9" max="9" width="11.5" style="165" bestFit="1" customWidth="1"/>
    <col min="10" max="10" width="10.33203125" style="165" bestFit="1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</row>
    <row r="2" spans="1:22" x14ac:dyDescent="0.35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94"/>
      <c r="J2" s="394"/>
      <c r="K2" s="442" t="s">
        <v>7</v>
      </c>
      <c r="L2" s="442"/>
      <c r="M2" s="442"/>
      <c r="N2" s="337" t="s">
        <v>1</v>
      </c>
      <c r="O2" s="337"/>
      <c r="P2" s="337"/>
      <c r="Q2" s="337"/>
      <c r="R2" s="337"/>
      <c r="S2" s="337"/>
      <c r="T2" s="337" t="s">
        <v>8</v>
      </c>
      <c r="U2" s="443" t="s">
        <v>9</v>
      </c>
    </row>
    <row r="3" spans="1:22" s="167" customFormat="1" x14ac:dyDescent="0.3">
      <c r="A3" s="445" t="s">
        <v>10</v>
      </c>
      <c r="B3" s="445" t="s">
        <v>11</v>
      </c>
      <c r="C3" s="447" t="s">
        <v>12</v>
      </c>
      <c r="D3" s="445" t="s">
        <v>13</v>
      </c>
      <c r="E3" s="449" t="s">
        <v>14</v>
      </c>
      <c r="F3" s="447" t="s">
        <v>15</v>
      </c>
      <c r="G3" s="445" t="s">
        <v>16</v>
      </c>
      <c r="H3" s="458" t="s">
        <v>859</v>
      </c>
      <c r="I3" s="461" t="s">
        <v>19</v>
      </c>
      <c r="J3" s="461" t="s">
        <v>20</v>
      </c>
      <c r="K3" s="463" t="s">
        <v>21</v>
      </c>
      <c r="L3" s="465" t="s">
        <v>22</v>
      </c>
      <c r="M3" s="467" t="s">
        <v>23</v>
      </c>
      <c r="N3" s="467" t="s">
        <v>24</v>
      </c>
      <c r="O3" s="467"/>
      <c r="P3" s="453" t="s">
        <v>25</v>
      </c>
      <c r="Q3" s="453"/>
      <c r="R3" s="445" t="s">
        <v>26</v>
      </c>
      <c r="S3" s="453" t="s">
        <v>23</v>
      </c>
      <c r="T3" s="337"/>
      <c r="U3" s="443"/>
    </row>
    <row r="4" spans="1:22" s="167" customFormat="1" x14ac:dyDescent="0.3">
      <c r="A4" s="446"/>
      <c r="B4" s="446"/>
      <c r="C4" s="448"/>
      <c r="D4" s="446"/>
      <c r="E4" s="450"/>
      <c r="F4" s="448"/>
      <c r="G4" s="446"/>
      <c r="H4" s="459"/>
      <c r="I4" s="462"/>
      <c r="J4" s="462"/>
      <c r="K4" s="464"/>
      <c r="L4" s="466"/>
      <c r="M4" s="468"/>
      <c r="N4" s="209" t="s">
        <v>2</v>
      </c>
      <c r="O4" s="210" t="s">
        <v>30</v>
      </c>
      <c r="P4" s="211" t="s">
        <v>2</v>
      </c>
      <c r="Q4" s="212" t="s">
        <v>30</v>
      </c>
      <c r="R4" s="446"/>
      <c r="S4" s="460"/>
      <c r="T4" s="394"/>
      <c r="U4" s="444"/>
    </row>
    <row r="5" spans="1:22" ht="29" x14ac:dyDescent="0.35">
      <c r="A5" s="126" t="s">
        <v>250</v>
      </c>
      <c r="B5" s="311" t="s">
        <v>934</v>
      </c>
      <c r="C5" s="194" t="s">
        <v>636</v>
      </c>
      <c r="D5" s="217">
        <v>185</v>
      </c>
      <c r="E5" s="175" t="s">
        <v>1031</v>
      </c>
      <c r="F5" s="175" t="s">
        <v>1034</v>
      </c>
      <c r="G5" s="215" t="s">
        <v>31</v>
      </c>
      <c r="H5" s="169" t="s">
        <v>933</v>
      </c>
      <c r="I5" s="195">
        <v>45705</v>
      </c>
      <c r="J5" s="264">
        <v>45726</v>
      </c>
      <c r="K5" s="265">
        <f>M5/2</f>
        <v>835.14</v>
      </c>
      <c r="L5" s="265">
        <f>M5/2</f>
        <v>835.14</v>
      </c>
      <c r="M5" s="265">
        <f>1566.32+103.96</f>
        <v>1670.28</v>
      </c>
      <c r="N5" s="194">
        <f>(J5-I5)+1</f>
        <v>22</v>
      </c>
      <c r="O5" s="305">
        <v>200</v>
      </c>
      <c r="P5" s="293">
        <v>0</v>
      </c>
      <c r="Q5" s="130">
        <v>0</v>
      </c>
      <c r="R5" s="307">
        <f t="shared" ref="R5:R7" si="0">N5*O5+P5*Q5</f>
        <v>4400</v>
      </c>
      <c r="S5" s="306">
        <f>M5+R5</f>
        <v>6070.28</v>
      </c>
      <c r="T5" s="306">
        <f t="shared" ref="T5:T7" si="1">S5</f>
        <v>6070.28</v>
      </c>
      <c r="U5" s="168"/>
      <c r="V5" s="44"/>
    </row>
    <row r="6" spans="1:22" ht="58" x14ac:dyDescent="0.35">
      <c r="A6" s="126" t="s">
        <v>250</v>
      </c>
      <c r="B6" s="309" t="s">
        <v>1029</v>
      </c>
      <c r="C6" s="169" t="s">
        <v>397</v>
      </c>
      <c r="D6" s="169">
        <v>345</v>
      </c>
      <c r="E6" s="175" t="s">
        <v>1028</v>
      </c>
      <c r="F6" s="175" t="s">
        <v>1032</v>
      </c>
      <c r="G6" s="215" t="s">
        <v>31</v>
      </c>
      <c r="H6" s="169" t="s">
        <v>1035</v>
      </c>
      <c r="I6" s="195">
        <v>45698</v>
      </c>
      <c r="J6" s="264">
        <v>45700</v>
      </c>
      <c r="K6" s="280">
        <f>2466.42+58.89</f>
        <v>2525.31</v>
      </c>
      <c r="L6" s="265">
        <v>2601.27</v>
      </c>
      <c r="M6" s="280">
        <f>K6+L6</f>
        <v>5126.58</v>
      </c>
      <c r="N6" s="194">
        <f t="shared" ref="N6" si="2">(J6-I6)+1</f>
        <v>3</v>
      </c>
      <c r="O6" s="305">
        <v>200</v>
      </c>
      <c r="P6" s="293">
        <v>0</v>
      </c>
      <c r="Q6" s="130">
        <v>0</v>
      </c>
      <c r="R6" s="307">
        <f t="shared" si="0"/>
        <v>600</v>
      </c>
      <c r="S6" s="306">
        <f t="shared" ref="S6:S7" si="3">M6+R6</f>
        <v>5726.58</v>
      </c>
      <c r="T6" s="306">
        <f t="shared" si="1"/>
        <v>5726.58</v>
      </c>
      <c r="U6" s="168"/>
      <c r="V6" s="44"/>
    </row>
    <row r="7" spans="1:22" s="263" customFormat="1" ht="29" x14ac:dyDescent="0.3">
      <c r="A7" s="309" t="s">
        <v>1033</v>
      </c>
      <c r="B7" s="309" t="s">
        <v>1033</v>
      </c>
      <c r="C7" s="276" t="s">
        <v>1026</v>
      </c>
      <c r="D7" s="267" t="s">
        <v>74</v>
      </c>
      <c r="E7" s="310" t="s">
        <v>1030</v>
      </c>
      <c r="F7" s="191" t="s">
        <v>1036</v>
      </c>
      <c r="G7" s="215" t="s">
        <v>31</v>
      </c>
      <c r="H7" s="169" t="s">
        <v>1027</v>
      </c>
      <c r="I7" s="288">
        <v>45709</v>
      </c>
      <c r="J7" s="295"/>
      <c r="K7" s="280">
        <f>767.82+53.57</f>
        <v>821.3900000000001</v>
      </c>
      <c r="M7" s="280">
        <f>K7</f>
        <v>821.3900000000001</v>
      </c>
      <c r="N7" s="241">
        <v>0</v>
      </c>
      <c r="O7" s="281">
        <v>0</v>
      </c>
      <c r="P7" s="293">
        <v>0</v>
      </c>
      <c r="Q7" s="170">
        <v>0</v>
      </c>
      <c r="R7" s="307">
        <f t="shared" si="0"/>
        <v>0</v>
      </c>
      <c r="S7" s="306">
        <f t="shared" si="3"/>
        <v>821.3900000000001</v>
      </c>
      <c r="T7" s="306">
        <f t="shared" si="1"/>
        <v>821.3900000000001</v>
      </c>
    </row>
    <row r="8" spans="1:22" s="263" customFormat="1" ht="15" customHeight="1" x14ac:dyDescent="0.3">
      <c r="A8" s="126"/>
      <c r="B8" s="215"/>
      <c r="C8" s="169"/>
      <c r="D8" s="169"/>
      <c r="E8" s="175"/>
      <c r="F8" s="169"/>
      <c r="G8" s="76"/>
      <c r="H8" s="169"/>
      <c r="I8" s="288"/>
      <c r="J8" s="295"/>
      <c r="K8" s="280"/>
      <c r="L8" s="280"/>
      <c r="M8" s="280"/>
      <c r="N8" s="241"/>
      <c r="O8" s="281"/>
      <c r="P8" s="293"/>
      <c r="Q8" s="170"/>
      <c r="R8" s="240"/>
      <c r="S8" s="171"/>
      <c r="T8" s="171"/>
    </row>
    <row r="9" spans="1:22" s="263" customFormat="1" x14ac:dyDescent="0.3">
      <c r="A9" s="126"/>
      <c r="B9" s="215"/>
      <c r="C9" s="169"/>
      <c r="D9" s="169"/>
      <c r="E9" s="175"/>
      <c r="F9" s="175"/>
      <c r="G9" s="76"/>
      <c r="H9" s="169"/>
      <c r="I9" s="288"/>
      <c r="J9" s="295"/>
      <c r="K9" s="280"/>
      <c r="L9" s="280"/>
      <c r="M9" s="280"/>
      <c r="N9" s="241"/>
      <c r="O9" s="281"/>
      <c r="P9" s="293"/>
      <c r="Q9" s="170"/>
      <c r="R9" s="240"/>
      <c r="S9" s="171"/>
      <c r="T9" s="171"/>
    </row>
    <row r="10" spans="1:22" s="263" customFormat="1" x14ac:dyDescent="0.3">
      <c r="A10" s="126"/>
      <c r="B10" s="215"/>
      <c r="C10" s="169"/>
      <c r="D10" s="169"/>
      <c r="E10" s="175"/>
      <c r="F10" s="175"/>
      <c r="G10" s="76"/>
      <c r="H10" s="169"/>
      <c r="I10" s="288"/>
      <c r="J10" s="295"/>
      <c r="K10" s="280"/>
      <c r="L10" s="280"/>
      <c r="M10" s="280"/>
      <c r="N10" s="241"/>
      <c r="O10" s="281"/>
      <c r="P10" s="293"/>
      <c r="Q10" s="170"/>
      <c r="R10" s="240"/>
      <c r="S10" s="171"/>
      <c r="T10" s="171"/>
    </row>
    <row r="11" spans="1:22" s="263" customFormat="1" ht="15" customHeight="1" x14ac:dyDescent="0.3">
      <c r="A11" s="126"/>
      <c r="B11" s="126"/>
      <c r="C11" s="169"/>
      <c r="D11" s="94"/>
      <c r="E11" s="175"/>
      <c r="F11" s="169"/>
      <c r="G11" s="76"/>
      <c r="H11" s="169"/>
      <c r="I11" s="288"/>
      <c r="J11" s="295"/>
      <c r="K11" s="280"/>
      <c r="L11" s="280"/>
      <c r="M11" s="280"/>
      <c r="N11" s="241"/>
      <c r="O11" s="281"/>
      <c r="P11" s="293"/>
      <c r="Q11" s="170"/>
      <c r="R11" s="240"/>
      <c r="S11" s="171"/>
      <c r="T11" s="171"/>
    </row>
    <row r="12" spans="1:22" s="263" customFormat="1" ht="15" customHeight="1" x14ac:dyDescent="0.3">
      <c r="A12" s="154"/>
      <c r="B12" s="215"/>
      <c r="C12" s="164"/>
      <c r="D12" s="217"/>
      <c r="E12" s="175"/>
      <c r="F12" s="169"/>
      <c r="G12" s="76"/>
      <c r="H12" s="169"/>
      <c r="I12" s="288"/>
      <c r="J12" s="295"/>
      <c r="K12" s="280"/>
      <c r="L12" s="280"/>
      <c r="M12" s="280"/>
      <c r="N12" s="241"/>
      <c r="O12" s="281"/>
      <c r="P12" s="293"/>
      <c r="Q12" s="170"/>
      <c r="R12" s="240"/>
      <c r="S12" s="171"/>
      <c r="T12" s="171"/>
    </row>
    <row r="13" spans="1:22" s="263" customFormat="1" ht="15" customHeight="1" x14ac:dyDescent="0.3">
      <c r="C13" s="169"/>
      <c r="D13" s="169"/>
      <c r="E13" s="175"/>
      <c r="G13" s="76"/>
      <c r="H13" s="169"/>
      <c r="M13" s="201"/>
      <c r="N13" s="269"/>
      <c r="R13" s="292"/>
    </row>
    <row r="14" spans="1:22" s="263" customFormat="1" ht="15" customHeight="1" x14ac:dyDescent="0.3">
      <c r="C14" s="169"/>
      <c r="E14" s="175"/>
      <c r="M14" s="201"/>
      <c r="N14" s="269"/>
    </row>
    <row r="15" spans="1:22" s="263" customFormat="1" ht="15" customHeight="1" x14ac:dyDescent="0.3">
      <c r="E15" s="175"/>
      <c r="M15" s="278">
        <f>SUM(M5:M6)</f>
        <v>6796.86</v>
      </c>
      <c r="N15" s="269"/>
      <c r="S15" s="282">
        <f>SUM(S5:S14)</f>
        <v>12618.25</v>
      </c>
    </row>
    <row r="18" spans="1:22" s="165" customFormat="1" x14ac:dyDescent="0.35">
      <c r="A18"/>
      <c r="B18"/>
      <c r="D18"/>
      <c r="E18" s="221"/>
      <c r="F18" s="166"/>
      <c r="G18"/>
      <c r="H18" s="208"/>
      <c r="K18" s="208"/>
      <c r="L18" s="208"/>
      <c r="N18" s="166"/>
      <c r="P18"/>
      <c r="Q18"/>
      <c r="R18"/>
      <c r="S18"/>
      <c r="T18"/>
      <c r="V18"/>
    </row>
  </sheetData>
  <mergeCells count="25">
    <mergeCell ref="P3:Q3"/>
    <mergeCell ref="R3:R4"/>
    <mergeCell ref="S3:S4"/>
    <mergeCell ref="I3:I4"/>
    <mergeCell ref="J3:J4"/>
    <mergeCell ref="K3:K4"/>
    <mergeCell ref="L3:L4"/>
    <mergeCell ref="M3:M4"/>
    <mergeCell ref="N3:O3"/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29200-B84B-403A-8218-72AB57D6412E}">
  <dimension ref="A1:V17"/>
  <sheetViews>
    <sheetView showGridLines="0" zoomScaleNormal="100" workbookViewId="0">
      <selection activeCell="A5" sqref="A5:C5"/>
    </sheetView>
  </sheetViews>
  <sheetFormatPr defaultRowHeight="14.5" x14ac:dyDescent="0.35"/>
  <cols>
    <col min="1" max="1" width="38.5" bestFit="1" customWidth="1"/>
    <col min="2" max="2" width="43.33203125" customWidth="1"/>
    <col min="3" max="3" width="41.58203125" style="165" bestFit="1" customWidth="1"/>
    <col min="4" max="4" width="12.5" customWidth="1"/>
    <col min="5" max="5" width="15" style="221" customWidth="1"/>
    <col min="6" max="6" width="32" style="166" customWidth="1"/>
    <col min="7" max="7" width="13.83203125" bestFit="1" customWidth="1"/>
    <col min="8" max="8" width="29" style="165" customWidth="1"/>
    <col min="9" max="9" width="11.5" style="165" bestFit="1" customWidth="1"/>
    <col min="10" max="10" width="10.33203125" style="165" bestFit="1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</row>
    <row r="2" spans="1:22" x14ac:dyDescent="0.35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94"/>
      <c r="J2" s="394"/>
      <c r="K2" s="442" t="s">
        <v>7</v>
      </c>
      <c r="L2" s="442"/>
      <c r="M2" s="442"/>
      <c r="N2" s="337" t="s">
        <v>1</v>
      </c>
      <c r="O2" s="337"/>
      <c r="P2" s="337"/>
      <c r="Q2" s="337"/>
      <c r="R2" s="337"/>
      <c r="S2" s="337"/>
      <c r="T2" s="337" t="s">
        <v>8</v>
      </c>
      <c r="U2" s="443" t="s">
        <v>9</v>
      </c>
    </row>
    <row r="3" spans="1:22" s="167" customFormat="1" x14ac:dyDescent="0.3">
      <c r="A3" s="445" t="s">
        <v>10</v>
      </c>
      <c r="B3" s="445" t="s">
        <v>11</v>
      </c>
      <c r="C3" s="447" t="s">
        <v>12</v>
      </c>
      <c r="D3" s="445" t="s">
        <v>13</v>
      </c>
      <c r="E3" s="449" t="s">
        <v>14</v>
      </c>
      <c r="F3" s="447" t="s">
        <v>15</v>
      </c>
      <c r="G3" s="445" t="s">
        <v>16</v>
      </c>
      <c r="H3" s="458" t="s">
        <v>859</v>
      </c>
      <c r="I3" s="461" t="s">
        <v>19</v>
      </c>
      <c r="J3" s="461" t="s">
        <v>20</v>
      </c>
      <c r="K3" s="463" t="s">
        <v>21</v>
      </c>
      <c r="L3" s="465" t="s">
        <v>22</v>
      </c>
      <c r="M3" s="467" t="s">
        <v>23</v>
      </c>
      <c r="N3" s="467" t="s">
        <v>24</v>
      </c>
      <c r="O3" s="467"/>
      <c r="P3" s="453" t="s">
        <v>25</v>
      </c>
      <c r="Q3" s="453"/>
      <c r="R3" s="445" t="s">
        <v>26</v>
      </c>
      <c r="S3" s="453" t="s">
        <v>23</v>
      </c>
      <c r="T3" s="337"/>
      <c r="U3" s="443"/>
    </row>
    <row r="4" spans="1:22" s="167" customFormat="1" x14ac:dyDescent="0.3">
      <c r="A4" s="446"/>
      <c r="B4" s="446"/>
      <c r="C4" s="448"/>
      <c r="D4" s="446"/>
      <c r="E4" s="450"/>
      <c r="F4" s="448"/>
      <c r="G4" s="446"/>
      <c r="H4" s="459"/>
      <c r="I4" s="462"/>
      <c r="J4" s="462"/>
      <c r="K4" s="464"/>
      <c r="L4" s="466"/>
      <c r="M4" s="468"/>
      <c r="N4" s="209" t="s">
        <v>2</v>
      </c>
      <c r="O4" s="210" t="s">
        <v>30</v>
      </c>
      <c r="P4" s="211" t="s">
        <v>2</v>
      </c>
      <c r="Q4" s="212" t="s">
        <v>30</v>
      </c>
      <c r="R4" s="446"/>
      <c r="S4" s="460"/>
      <c r="T4" s="394"/>
      <c r="U4" s="444"/>
    </row>
    <row r="5" spans="1:22" ht="29" x14ac:dyDescent="0.35">
      <c r="A5" s="262" t="s">
        <v>229</v>
      </c>
      <c r="B5" s="262" t="s">
        <v>229</v>
      </c>
      <c r="C5" s="314" t="s">
        <v>1037</v>
      </c>
      <c r="D5" s="194" t="s">
        <v>74</v>
      </c>
      <c r="E5" s="175" t="s">
        <v>1040</v>
      </c>
      <c r="F5" s="175" t="s">
        <v>228</v>
      </c>
      <c r="G5" s="215" t="s">
        <v>31</v>
      </c>
      <c r="H5" s="169" t="s">
        <v>861</v>
      </c>
      <c r="I5" s="195">
        <v>45728</v>
      </c>
      <c r="J5" s="264">
        <v>45729</v>
      </c>
      <c r="K5" s="265">
        <v>1641.0400000000002</v>
      </c>
      <c r="L5" s="265">
        <v>1655.86</v>
      </c>
      <c r="M5" s="265">
        <f>K5+L5</f>
        <v>3296.9</v>
      </c>
      <c r="N5" s="194">
        <v>0</v>
      </c>
      <c r="O5" s="305">
        <v>200</v>
      </c>
      <c r="P5" s="293">
        <v>0</v>
      </c>
      <c r="Q5" s="130">
        <v>0</v>
      </c>
      <c r="R5" s="307">
        <f t="shared" ref="R5:R14" si="0">N5*O5+P5*Q5</f>
        <v>0</v>
      </c>
      <c r="S5" s="306">
        <f>M5+R5</f>
        <v>3296.9</v>
      </c>
      <c r="T5" s="306">
        <f t="shared" ref="T5:T14" si="1">S5</f>
        <v>3296.9</v>
      </c>
      <c r="U5" s="168"/>
      <c r="V5" s="44"/>
    </row>
    <row r="6" spans="1:22" x14ac:dyDescent="0.35">
      <c r="A6" s="262" t="s">
        <v>229</v>
      </c>
      <c r="B6" s="313" t="s">
        <v>568</v>
      </c>
      <c r="C6" s="315" t="s">
        <v>48</v>
      </c>
      <c r="D6" s="194">
        <v>56</v>
      </c>
      <c r="E6" s="175" t="s">
        <v>1041</v>
      </c>
      <c r="F6" s="175" t="s">
        <v>228</v>
      </c>
      <c r="G6" s="215" t="s">
        <v>31</v>
      </c>
      <c r="H6" s="169" t="s">
        <v>860</v>
      </c>
      <c r="I6" s="195">
        <v>45728</v>
      </c>
      <c r="J6" s="264">
        <v>45729</v>
      </c>
      <c r="K6" s="280">
        <f>M6/2</f>
        <v>1367.0100000000002</v>
      </c>
      <c r="L6" s="265">
        <f>M6/2</f>
        <v>1367.0100000000002</v>
      </c>
      <c r="M6" s="280">
        <v>2734.0200000000004</v>
      </c>
      <c r="N6" s="194">
        <f t="shared" ref="N6:N13" si="2">(J6-I6)+1</f>
        <v>2</v>
      </c>
      <c r="O6" s="305">
        <v>200</v>
      </c>
      <c r="P6" s="293">
        <v>0</v>
      </c>
      <c r="Q6" s="130">
        <v>0</v>
      </c>
      <c r="R6" s="307">
        <f t="shared" si="0"/>
        <v>400</v>
      </c>
      <c r="S6" s="306">
        <f t="shared" ref="S6:S13" si="3">M6+R6</f>
        <v>3134.0200000000004</v>
      </c>
      <c r="T6" s="306">
        <f t="shared" si="1"/>
        <v>3134.0200000000004</v>
      </c>
      <c r="U6" s="168"/>
      <c r="V6" s="44"/>
    </row>
    <row r="7" spans="1:22" s="263" customFormat="1" x14ac:dyDescent="0.3">
      <c r="A7" s="126" t="s">
        <v>250</v>
      </c>
      <c r="B7" s="126" t="s">
        <v>250</v>
      </c>
      <c r="C7" s="276" t="s">
        <v>670</v>
      </c>
      <c r="D7" s="194">
        <v>383</v>
      </c>
      <c r="E7" s="312" t="s">
        <v>900</v>
      </c>
      <c r="F7" s="191" t="s">
        <v>1046</v>
      </c>
      <c r="G7" s="215" t="s">
        <v>31</v>
      </c>
      <c r="H7" s="169" t="s">
        <v>933</v>
      </c>
      <c r="I7" s="195">
        <v>45726</v>
      </c>
      <c r="J7" s="295">
        <v>45730</v>
      </c>
      <c r="K7" s="280">
        <f>M7/2</f>
        <v>1170.17</v>
      </c>
      <c r="L7" s="265">
        <f t="shared" ref="L7:L10" si="4">M7/2</f>
        <v>1170.17</v>
      </c>
      <c r="M7" s="280">
        <v>2340.34</v>
      </c>
      <c r="N7" s="194">
        <f t="shared" si="2"/>
        <v>5</v>
      </c>
      <c r="O7" s="281">
        <v>0</v>
      </c>
      <c r="P7" s="293">
        <v>0</v>
      </c>
      <c r="Q7" s="170">
        <v>0</v>
      </c>
      <c r="R7" s="307">
        <f t="shared" si="0"/>
        <v>0</v>
      </c>
      <c r="S7" s="306">
        <f t="shared" si="3"/>
        <v>2340.34</v>
      </c>
      <c r="T7" s="306">
        <f t="shared" si="1"/>
        <v>2340.34</v>
      </c>
    </row>
    <row r="8" spans="1:22" s="263" customFormat="1" ht="15" customHeight="1" x14ac:dyDescent="0.3">
      <c r="A8" s="126" t="s">
        <v>250</v>
      </c>
      <c r="B8" s="215" t="s">
        <v>901</v>
      </c>
      <c r="C8" s="315" t="s">
        <v>802</v>
      </c>
      <c r="D8" s="194">
        <v>404</v>
      </c>
      <c r="E8" s="175" t="s">
        <v>1045</v>
      </c>
      <c r="F8" s="191" t="s">
        <v>1046</v>
      </c>
      <c r="G8" s="215" t="s">
        <v>31</v>
      </c>
      <c r="H8" s="169" t="s">
        <v>933</v>
      </c>
      <c r="I8" s="195">
        <v>45726</v>
      </c>
      <c r="J8" s="295">
        <v>45730</v>
      </c>
      <c r="K8" s="280">
        <f t="shared" ref="K8:K10" si="5">M8/2</f>
        <v>1170.17</v>
      </c>
      <c r="L8" s="265">
        <f t="shared" si="4"/>
        <v>1170.17</v>
      </c>
      <c r="M8" s="280">
        <v>2340.34</v>
      </c>
      <c r="N8" s="194">
        <f t="shared" si="2"/>
        <v>5</v>
      </c>
      <c r="O8" s="281">
        <v>200</v>
      </c>
      <c r="P8" s="293">
        <v>0</v>
      </c>
      <c r="Q8" s="170">
        <v>0</v>
      </c>
      <c r="R8" s="307">
        <f t="shared" si="0"/>
        <v>1000</v>
      </c>
      <c r="S8" s="306">
        <f t="shared" si="3"/>
        <v>3340.34</v>
      </c>
      <c r="T8" s="306">
        <f t="shared" si="1"/>
        <v>3340.34</v>
      </c>
    </row>
    <row r="9" spans="1:22" s="263" customFormat="1" ht="29" x14ac:dyDescent="0.3">
      <c r="A9" s="126" t="s">
        <v>250</v>
      </c>
      <c r="B9" s="215" t="s">
        <v>901</v>
      </c>
      <c r="C9" s="315" t="s">
        <v>1038</v>
      </c>
      <c r="D9" s="194"/>
      <c r="E9" s="175" t="s">
        <v>1044</v>
      </c>
      <c r="F9" s="191" t="s">
        <v>1046</v>
      </c>
      <c r="G9" s="215" t="s">
        <v>31</v>
      </c>
      <c r="H9" s="169" t="s">
        <v>933</v>
      </c>
      <c r="I9" s="195">
        <v>45726</v>
      </c>
      <c r="J9" s="295">
        <v>45730</v>
      </c>
      <c r="K9" s="280">
        <f t="shared" si="5"/>
        <v>1170.17</v>
      </c>
      <c r="L9" s="265">
        <f t="shared" si="4"/>
        <v>1170.17</v>
      </c>
      <c r="M9" s="280">
        <v>2340.34</v>
      </c>
      <c r="N9" s="194">
        <f t="shared" si="2"/>
        <v>5</v>
      </c>
      <c r="O9" s="281">
        <v>200</v>
      </c>
      <c r="P9" s="293">
        <v>0</v>
      </c>
      <c r="Q9" s="170">
        <v>0</v>
      </c>
      <c r="R9" s="307">
        <f t="shared" si="0"/>
        <v>1000</v>
      </c>
      <c r="S9" s="306">
        <f t="shared" si="3"/>
        <v>3340.34</v>
      </c>
      <c r="T9" s="306">
        <f t="shared" si="1"/>
        <v>3340.34</v>
      </c>
    </row>
    <row r="10" spans="1:22" s="263" customFormat="1" ht="27.75" customHeight="1" x14ac:dyDescent="0.3">
      <c r="A10" s="126" t="s">
        <v>250</v>
      </c>
      <c r="B10" s="313" t="s">
        <v>1042</v>
      </c>
      <c r="C10" s="315" t="s">
        <v>613</v>
      </c>
      <c r="D10" s="194">
        <v>314</v>
      </c>
      <c r="E10" s="175" t="s">
        <v>1043</v>
      </c>
      <c r="F10" s="169" t="s">
        <v>1047</v>
      </c>
      <c r="G10" s="215" t="s">
        <v>31</v>
      </c>
      <c r="H10" s="169" t="s">
        <v>933</v>
      </c>
      <c r="I10" s="195">
        <v>45734</v>
      </c>
      <c r="J10" s="295">
        <v>45744</v>
      </c>
      <c r="K10" s="280">
        <f t="shared" si="5"/>
        <v>2986.87</v>
      </c>
      <c r="L10" s="265">
        <f t="shared" si="4"/>
        <v>2986.87</v>
      </c>
      <c r="M10" s="280">
        <v>5973.74</v>
      </c>
      <c r="N10" s="194">
        <f t="shared" si="2"/>
        <v>11</v>
      </c>
      <c r="O10" s="281">
        <v>200</v>
      </c>
      <c r="P10" s="293">
        <v>0</v>
      </c>
      <c r="Q10" s="170">
        <v>0</v>
      </c>
      <c r="R10" s="307">
        <f t="shared" si="0"/>
        <v>2200</v>
      </c>
      <c r="S10" s="306">
        <f t="shared" si="3"/>
        <v>8173.74</v>
      </c>
      <c r="T10" s="306">
        <f t="shared" si="1"/>
        <v>8173.74</v>
      </c>
    </row>
    <row r="11" spans="1:22" s="263" customFormat="1" ht="15" customHeight="1" x14ac:dyDescent="0.3">
      <c r="A11" s="309" t="s">
        <v>1033</v>
      </c>
      <c r="B11" s="309" t="s">
        <v>1033</v>
      </c>
      <c r="C11" s="316" t="s">
        <v>1026</v>
      </c>
      <c r="D11" s="194" t="s">
        <v>74</v>
      </c>
      <c r="E11" s="175" t="s">
        <v>909</v>
      </c>
      <c r="F11" s="169"/>
      <c r="G11" s="215" t="s">
        <v>31</v>
      </c>
      <c r="H11" s="169" t="s">
        <v>1039</v>
      </c>
      <c r="I11" s="195">
        <v>45744</v>
      </c>
      <c r="J11" s="295"/>
      <c r="K11" s="280">
        <v>836.68</v>
      </c>
      <c r="L11" s="280"/>
      <c r="M11" s="280">
        <v>836.68</v>
      </c>
      <c r="N11" s="194">
        <v>0</v>
      </c>
      <c r="O11" s="281">
        <v>200</v>
      </c>
      <c r="P11" s="293">
        <v>0</v>
      </c>
      <c r="Q11" s="170">
        <v>0</v>
      </c>
      <c r="R11" s="307">
        <f t="shared" si="0"/>
        <v>0</v>
      </c>
      <c r="S11" s="306">
        <f t="shared" si="3"/>
        <v>836.68</v>
      </c>
      <c r="T11" s="306">
        <f t="shared" si="1"/>
        <v>836.68</v>
      </c>
    </row>
    <row r="12" spans="1:22" s="263" customFormat="1" ht="15" customHeight="1" x14ac:dyDescent="0.3">
      <c r="A12" s="262" t="s">
        <v>229</v>
      </c>
      <c r="B12" s="262" t="s">
        <v>229</v>
      </c>
      <c r="C12" s="315" t="s">
        <v>1037</v>
      </c>
      <c r="D12" s="194"/>
      <c r="E12" s="175" t="s">
        <v>1040</v>
      </c>
      <c r="F12" s="169" t="s">
        <v>415</v>
      </c>
      <c r="G12" s="215" t="s">
        <v>31</v>
      </c>
      <c r="H12" s="169" t="s">
        <v>867</v>
      </c>
      <c r="I12" s="195">
        <v>45742</v>
      </c>
      <c r="J12" s="288">
        <v>45744</v>
      </c>
      <c r="K12" s="201">
        <f>M12/2</f>
        <v>1235.865</v>
      </c>
      <c r="L12" s="201">
        <f>M12/2</f>
        <v>1235.865</v>
      </c>
      <c r="M12" s="201">
        <v>2471.73</v>
      </c>
      <c r="N12" s="194">
        <f t="shared" si="2"/>
        <v>3</v>
      </c>
      <c r="O12" s="281">
        <v>200</v>
      </c>
      <c r="P12" s="293">
        <v>0</v>
      </c>
      <c r="Q12" s="170">
        <v>0</v>
      </c>
      <c r="R12" s="307">
        <f t="shared" si="0"/>
        <v>600</v>
      </c>
      <c r="S12" s="306">
        <f t="shared" si="3"/>
        <v>3071.73</v>
      </c>
      <c r="T12" s="306">
        <f t="shared" si="1"/>
        <v>3071.73</v>
      </c>
    </row>
    <row r="13" spans="1:22" s="263" customFormat="1" ht="15" customHeight="1" x14ac:dyDescent="0.3">
      <c r="A13" s="262" t="s">
        <v>229</v>
      </c>
      <c r="B13" s="313" t="s">
        <v>568</v>
      </c>
      <c r="C13" s="315" t="s">
        <v>48</v>
      </c>
      <c r="D13" s="194">
        <v>56</v>
      </c>
      <c r="E13" s="175" t="s">
        <v>1041</v>
      </c>
      <c r="F13" s="169" t="s">
        <v>415</v>
      </c>
      <c r="G13" s="215" t="s">
        <v>31</v>
      </c>
      <c r="H13" s="169" t="s">
        <v>867</v>
      </c>
      <c r="I13" s="195">
        <v>45742</v>
      </c>
      <c r="J13" s="288">
        <v>45744</v>
      </c>
      <c r="K13" s="201">
        <f t="shared" ref="K13:K14" si="6">M13/2</f>
        <v>1298.8499999999999</v>
      </c>
      <c r="L13" s="201">
        <f t="shared" ref="L13:L14" si="7">M13/2</f>
        <v>1298.8499999999999</v>
      </c>
      <c r="M13" s="201">
        <v>2597.6999999999998</v>
      </c>
      <c r="N13" s="194">
        <f t="shared" si="2"/>
        <v>3</v>
      </c>
      <c r="O13" s="281">
        <v>200</v>
      </c>
      <c r="P13" s="293">
        <v>0</v>
      </c>
      <c r="Q13" s="170">
        <v>0</v>
      </c>
      <c r="R13" s="307">
        <f t="shared" si="0"/>
        <v>600</v>
      </c>
      <c r="S13" s="306">
        <f t="shared" si="3"/>
        <v>3197.7</v>
      </c>
      <c r="T13" s="306">
        <f t="shared" si="1"/>
        <v>3197.7</v>
      </c>
    </row>
    <row r="14" spans="1:22" s="263" customFormat="1" ht="15" customHeight="1" x14ac:dyDescent="0.3">
      <c r="A14" s="126" t="s">
        <v>250</v>
      </c>
      <c r="B14" s="126" t="s">
        <v>250</v>
      </c>
      <c r="C14" s="315" t="s">
        <v>378</v>
      </c>
      <c r="D14" s="194" t="s">
        <v>74</v>
      </c>
      <c r="E14" s="175" t="s">
        <v>896</v>
      </c>
      <c r="F14" s="169" t="s">
        <v>415</v>
      </c>
      <c r="G14" s="215" t="s">
        <v>31</v>
      </c>
      <c r="H14" s="169" t="s">
        <v>867</v>
      </c>
      <c r="I14" s="195">
        <v>45742</v>
      </c>
      <c r="J14" s="288">
        <v>45744</v>
      </c>
      <c r="K14" s="201">
        <f t="shared" si="6"/>
        <v>1298.8499999999999</v>
      </c>
      <c r="L14" s="201">
        <f t="shared" si="7"/>
        <v>1298.8499999999999</v>
      </c>
      <c r="M14" s="201">
        <v>2597.6999999999998</v>
      </c>
      <c r="N14" s="269">
        <v>0</v>
      </c>
      <c r="O14" s="281">
        <v>200</v>
      </c>
      <c r="P14" s="293">
        <v>0</v>
      </c>
      <c r="Q14" s="170">
        <v>0</v>
      </c>
      <c r="R14" s="307">
        <f t="shared" si="0"/>
        <v>0</v>
      </c>
      <c r="S14" s="282">
        <f>SUM(S5:S13)</f>
        <v>30731.79</v>
      </c>
      <c r="T14" s="306">
        <f t="shared" si="1"/>
        <v>30731.79</v>
      </c>
    </row>
    <row r="15" spans="1:22" x14ac:dyDescent="0.35">
      <c r="M15" s="208">
        <f>SUM(M5:M14)</f>
        <v>27529.49</v>
      </c>
    </row>
    <row r="17" spans="1:22" s="165" customFormat="1" x14ac:dyDescent="0.35">
      <c r="A17"/>
      <c r="B17"/>
      <c r="D17"/>
      <c r="E17" s="221"/>
      <c r="F17" s="166"/>
      <c r="G17"/>
      <c r="H17" s="208"/>
      <c r="K17" s="208"/>
      <c r="L17" s="208"/>
      <c r="N17" s="166"/>
      <c r="P17"/>
      <c r="Q17"/>
      <c r="R17"/>
      <c r="S17"/>
      <c r="T17"/>
      <c r="V17"/>
    </row>
  </sheetData>
  <mergeCells count="25">
    <mergeCell ref="P3:Q3"/>
    <mergeCell ref="R3:R4"/>
    <mergeCell ref="S3:S4"/>
    <mergeCell ref="I3:I4"/>
    <mergeCell ref="J3:J4"/>
    <mergeCell ref="K3:K4"/>
    <mergeCell ref="L3:L4"/>
    <mergeCell ref="M3:M4"/>
    <mergeCell ref="N3:O3"/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7"/>
  <sheetViews>
    <sheetView workbookViewId="0">
      <selection activeCell="D13" sqref="D13:E13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3203125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6" t="s">
        <v>0</v>
      </c>
      <c r="W5" s="336"/>
      <c r="X5" s="8">
        <v>43191</v>
      </c>
    </row>
    <row r="6" spans="1:24" ht="14" x14ac:dyDescent="0.3">
      <c r="A6" s="337" t="s">
        <v>4</v>
      </c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</row>
    <row r="7" spans="1:24" ht="14" x14ac:dyDescent="0.3">
      <c r="A7" s="337" t="s">
        <v>5</v>
      </c>
      <c r="B7" s="337"/>
      <c r="C7" s="337" t="s">
        <v>6</v>
      </c>
      <c r="D7" s="337"/>
      <c r="E7" s="337"/>
      <c r="F7" s="337" t="s">
        <v>3</v>
      </c>
      <c r="G7" s="337"/>
      <c r="H7" s="337"/>
      <c r="I7" s="337"/>
      <c r="J7" s="337"/>
      <c r="K7" s="337"/>
      <c r="L7" s="337"/>
      <c r="M7" s="337"/>
      <c r="N7" s="337" t="s">
        <v>7</v>
      </c>
      <c r="O7" s="337"/>
      <c r="P7" s="337"/>
      <c r="Q7" s="337" t="s">
        <v>1</v>
      </c>
      <c r="R7" s="337"/>
      <c r="S7" s="337"/>
      <c r="T7" s="337"/>
      <c r="U7" s="337"/>
      <c r="V7" s="337"/>
      <c r="W7" s="337" t="s">
        <v>8</v>
      </c>
      <c r="X7" s="337" t="s">
        <v>9</v>
      </c>
    </row>
    <row r="8" spans="1:24" s="9" customFormat="1" ht="14" x14ac:dyDescent="0.3">
      <c r="A8" s="338" t="s">
        <v>10</v>
      </c>
      <c r="B8" s="338" t="s">
        <v>11</v>
      </c>
      <c r="C8" s="338" t="s">
        <v>12</v>
      </c>
      <c r="D8" s="338" t="s">
        <v>13</v>
      </c>
      <c r="E8" s="338" t="s">
        <v>14</v>
      </c>
      <c r="F8" s="338" t="s">
        <v>15</v>
      </c>
      <c r="G8" s="338" t="s">
        <v>16</v>
      </c>
      <c r="H8" s="338" t="s">
        <v>17</v>
      </c>
      <c r="I8" s="338"/>
      <c r="J8" s="339" t="s">
        <v>18</v>
      </c>
      <c r="K8" s="339"/>
      <c r="L8" s="338" t="s">
        <v>19</v>
      </c>
      <c r="M8" s="338" t="s">
        <v>20</v>
      </c>
      <c r="N8" s="339" t="s">
        <v>21</v>
      </c>
      <c r="O8" s="339" t="s">
        <v>22</v>
      </c>
      <c r="P8" s="339" t="s">
        <v>23</v>
      </c>
      <c r="Q8" s="339" t="s">
        <v>24</v>
      </c>
      <c r="R8" s="339"/>
      <c r="S8" s="339" t="s">
        <v>25</v>
      </c>
      <c r="T8" s="339"/>
      <c r="U8" s="338" t="s">
        <v>26</v>
      </c>
      <c r="V8" s="339" t="s">
        <v>23</v>
      </c>
      <c r="W8" s="337"/>
      <c r="X8" s="337"/>
    </row>
    <row r="9" spans="1:24" s="9" customFormat="1" ht="17.25" customHeight="1" x14ac:dyDescent="0.3">
      <c r="A9" s="338"/>
      <c r="B9" s="338"/>
      <c r="C9" s="338"/>
      <c r="D9" s="338"/>
      <c r="E9" s="338"/>
      <c r="F9" s="338"/>
      <c r="G9" s="338"/>
      <c r="H9" s="10" t="s">
        <v>27</v>
      </c>
      <c r="I9" s="10" t="s">
        <v>28</v>
      </c>
      <c r="J9" s="10" t="s">
        <v>27</v>
      </c>
      <c r="K9" s="11" t="s">
        <v>29</v>
      </c>
      <c r="L9" s="338"/>
      <c r="M9" s="338"/>
      <c r="N9" s="339"/>
      <c r="O9" s="339"/>
      <c r="P9" s="339"/>
      <c r="Q9" s="10" t="s">
        <v>2</v>
      </c>
      <c r="R9" s="11" t="s">
        <v>30</v>
      </c>
      <c r="S9" s="10" t="s">
        <v>2</v>
      </c>
      <c r="T9" s="11" t="s">
        <v>30</v>
      </c>
      <c r="U9" s="338"/>
      <c r="V9" s="339"/>
      <c r="W9" s="337"/>
      <c r="X9" s="337"/>
    </row>
    <row r="10" spans="1:24" ht="47.25" customHeight="1" x14ac:dyDescent="0.3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0" x14ac:dyDescent="0.3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7.5" x14ac:dyDescent="0.3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" x14ac:dyDescent="0.3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" x14ac:dyDescent="0.3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" x14ac:dyDescent="0.3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7.5" x14ac:dyDescent="0.3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7.5" x14ac:dyDescent="0.3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4D09E-4520-48FC-96EC-58E9AF597923}">
  <dimension ref="A1:V26"/>
  <sheetViews>
    <sheetView showGridLines="0" topLeftCell="E1" zoomScaleNormal="100" workbookViewId="0">
      <selection activeCell="D34" sqref="D34"/>
    </sheetView>
  </sheetViews>
  <sheetFormatPr defaultRowHeight="14.5" x14ac:dyDescent="0.35"/>
  <cols>
    <col min="1" max="1" width="38.5" bestFit="1" customWidth="1"/>
    <col min="2" max="2" width="43.33203125" customWidth="1"/>
    <col min="3" max="3" width="32.33203125" style="165" customWidth="1"/>
    <col min="4" max="4" width="12.5" customWidth="1"/>
    <col min="5" max="5" width="23.33203125" style="221" bestFit="1" customWidth="1"/>
    <col min="6" max="6" width="55.83203125" style="166" bestFit="1" customWidth="1"/>
    <col min="7" max="7" width="13.83203125" bestFit="1" customWidth="1"/>
    <col min="8" max="8" width="31.08203125" style="165" bestFit="1" customWidth="1"/>
    <col min="9" max="9" width="11.5" style="165" bestFit="1" customWidth="1"/>
    <col min="10" max="10" width="10.33203125" style="165" bestFit="1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3.83203125" bestFit="1" customWidth="1"/>
    <col min="20" max="20" width="12.75" bestFit="1" customWidth="1"/>
    <col min="21" max="21" width="64" style="165" bestFit="1" customWidth="1"/>
  </cols>
  <sheetData>
    <row r="1" spans="1:22" ht="1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</row>
    <row r="2" spans="1:22" x14ac:dyDescent="0.35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94"/>
      <c r="J2" s="394"/>
      <c r="K2" s="442" t="s">
        <v>7</v>
      </c>
      <c r="L2" s="442"/>
      <c r="M2" s="442"/>
      <c r="N2" s="337" t="s">
        <v>1</v>
      </c>
      <c r="O2" s="337"/>
      <c r="P2" s="337"/>
      <c r="Q2" s="337"/>
      <c r="R2" s="337"/>
      <c r="S2" s="337"/>
      <c r="T2" s="337" t="s">
        <v>8</v>
      </c>
      <c r="U2" s="443" t="s">
        <v>9</v>
      </c>
    </row>
    <row r="3" spans="1:22" s="167" customFormat="1" x14ac:dyDescent="0.3">
      <c r="A3" s="445" t="s">
        <v>10</v>
      </c>
      <c r="B3" s="445" t="s">
        <v>11</v>
      </c>
      <c r="C3" s="447" t="s">
        <v>12</v>
      </c>
      <c r="D3" s="445" t="s">
        <v>13</v>
      </c>
      <c r="E3" s="449" t="s">
        <v>14</v>
      </c>
      <c r="F3" s="447" t="s">
        <v>15</v>
      </c>
      <c r="G3" s="445" t="s">
        <v>16</v>
      </c>
      <c r="H3" s="458" t="s">
        <v>859</v>
      </c>
      <c r="I3" s="461" t="s">
        <v>19</v>
      </c>
      <c r="J3" s="461" t="s">
        <v>20</v>
      </c>
      <c r="K3" s="463" t="s">
        <v>21</v>
      </c>
      <c r="L3" s="465" t="s">
        <v>22</v>
      </c>
      <c r="M3" s="467" t="s">
        <v>23</v>
      </c>
      <c r="N3" s="467" t="s">
        <v>24</v>
      </c>
      <c r="O3" s="467"/>
      <c r="P3" s="453" t="s">
        <v>25</v>
      </c>
      <c r="Q3" s="453"/>
      <c r="R3" s="445" t="s">
        <v>26</v>
      </c>
      <c r="S3" s="453" t="s">
        <v>23</v>
      </c>
      <c r="T3" s="337"/>
      <c r="U3" s="443"/>
    </row>
    <row r="4" spans="1:22" s="167" customFormat="1" x14ac:dyDescent="0.3">
      <c r="A4" s="446"/>
      <c r="B4" s="446"/>
      <c r="C4" s="448"/>
      <c r="D4" s="446"/>
      <c r="E4" s="450"/>
      <c r="F4" s="448"/>
      <c r="G4" s="446"/>
      <c r="H4" s="459"/>
      <c r="I4" s="462"/>
      <c r="J4" s="462"/>
      <c r="K4" s="464"/>
      <c r="L4" s="466"/>
      <c r="M4" s="468"/>
      <c r="N4" s="209" t="s">
        <v>2</v>
      </c>
      <c r="O4" s="210" t="s">
        <v>30</v>
      </c>
      <c r="P4" s="211" t="s">
        <v>2</v>
      </c>
      <c r="Q4" s="212" t="s">
        <v>30</v>
      </c>
      <c r="R4" s="446"/>
      <c r="S4" s="460"/>
      <c r="T4" s="394"/>
      <c r="U4" s="444"/>
    </row>
    <row r="5" spans="1:22" x14ac:dyDescent="0.35">
      <c r="A5" s="126" t="s">
        <v>250</v>
      </c>
      <c r="B5" s="126" t="s">
        <v>250</v>
      </c>
      <c r="C5" s="314" t="s">
        <v>378</v>
      </c>
      <c r="D5" s="194" t="s">
        <v>74</v>
      </c>
      <c r="E5" s="175" t="s">
        <v>896</v>
      </c>
      <c r="F5" s="175" t="s">
        <v>1061</v>
      </c>
      <c r="G5" s="215" t="s">
        <v>31</v>
      </c>
      <c r="H5" s="169" t="s">
        <v>933</v>
      </c>
      <c r="I5" s="195">
        <v>45748</v>
      </c>
      <c r="J5" s="264">
        <v>45749</v>
      </c>
      <c r="K5" s="280">
        <f>M5/2</f>
        <v>939.33</v>
      </c>
      <c r="L5" s="265">
        <f>M5/2</f>
        <v>939.33</v>
      </c>
      <c r="M5" s="265">
        <v>1878.66</v>
      </c>
      <c r="N5" s="194">
        <v>0</v>
      </c>
      <c r="O5" s="305">
        <v>200</v>
      </c>
      <c r="P5" s="293">
        <v>0</v>
      </c>
      <c r="Q5" s="130">
        <v>0</v>
      </c>
      <c r="R5" s="307">
        <f t="shared" ref="R5:R13" si="0">N5*O5+P5*Q5</f>
        <v>0</v>
      </c>
      <c r="S5" s="306">
        <f>M5+R5</f>
        <v>1878.66</v>
      </c>
      <c r="T5" s="306">
        <f t="shared" ref="T5:T13" si="1">S5</f>
        <v>1878.66</v>
      </c>
      <c r="U5" s="168"/>
      <c r="V5" s="44"/>
    </row>
    <row r="6" spans="1:22" x14ac:dyDescent="0.35">
      <c r="A6" s="262" t="s">
        <v>229</v>
      </c>
      <c r="B6" s="126" t="s">
        <v>250</v>
      </c>
      <c r="C6" s="315" t="s">
        <v>670</v>
      </c>
      <c r="D6" s="194">
        <v>383</v>
      </c>
      <c r="E6" s="312" t="s">
        <v>900</v>
      </c>
      <c r="F6" s="175" t="s">
        <v>1061</v>
      </c>
      <c r="G6" s="215" t="s">
        <v>31</v>
      </c>
      <c r="H6" s="169" t="s">
        <v>933</v>
      </c>
      <c r="I6" s="195">
        <v>45748</v>
      </c>
      <c r="J6" s="264">
        <v>45749</v>
      </c>
      <c r="K6" s="280">
        <f>M6/2</f>
        <v>939.33</v>
      </c>
      <c r="L6" s="265">
        <f>M6/2</f>
        <v>939.33</v>
      </c>
      <c r="M6" s="280">
        <v>1878.66</v>
      </c>
      <c r="N6" s="194">
        <f t="shared" ref="N6:N12" si="2">(J6-I6)+1</f>
        <v>2</v>
      </c>
      <c r="O6" s="305">
        <v>200</v>
      </c>
      <c r="P6" s="293">
        <v>0</v>
      </c>
      <c r="Q6" s="130">
        <v>0</v>
      </c>
      <c r="R6" s="307">
        <f t="shared" si="0"/>
        <v>400</v>
      </c>
      <c r="S6" s="306">
        <f t="shared" ref="S6:S19" si="3">M6+R6</f>
        <v>2278.66</v>
      </c>
      <c r="T6" s="306">
        <f t="shared" si="1"/>
        <v>2278.66</v>
      </c>
      <c r="U6" s="168"/>
      <c r="V6" s="44"/>
    </row>
    <row r="7" spans="1:22" s="263" customFormat="1" x14ac:dyDescent="0.3">
      <c r="A7" s="126" t="s">
        <v>250</v>
      </c>
      <c r="B7" s="126" t="s">
        <v>250</v>
      </c>
      <c r="C7" s="276" t="s">
        <v>378</v>
      </c>
      <c r="D7" s="194" t="s">
        <v>74</v>
      </c>
      <c r="E7" s="175" t="s">
        <v>896</v>
      </c>
      <c r="F7" s="191" t="s">
        <v>1056</v>
      </c>
      <c r="G7" s="215" t="s">
        <v>31</v>
      </c>
      <c r="H7" s="169" t="s">
        <v>1048</v>
      </c>
      <c r="I7" s="195">
        <v>45754</v>
      </c>
      <c r="J7" s="295">
        <v>45755</v>
      </c>
      <c r="K7" s="280">
        <f>M7/2</f>
        <v>1094.9750000000001</v>
      </c>
      <c r="L7" s="265">
        <f t="shared" ref="L7" si="4">M7/2</f>
        <v>1094.9750000000001</v>
      </c>
      <c r="M7" s="280">
        <v>2189.9500000000003</v>
      </c>
      <c r="N7" s="194">
        <v>0</v>
      </c>
      <c r="O7" s="281">
        <v>0</v>
      </c>
      <c r="P7" s="293">
        <v>0</v>
      </c>
      <c r="Q7" s="170">
        <v>0</v>
      </c>
      <c r="R7" s="307">
        <f t="shared" si="0"/>
        <v>0</v>
      </c>
      <c r="S7" s="306">
        <f t="shared" si="3"/>
        <v>2189.9500000000003</v>
      </c>
      <c r="T7" s="306">
        <f t="shared" si="1"/>
        <v>2189.9500000000003</v>
      </c>
    </row>
    <row r="8" spans="1:22" s="263" customFormat="1" ht="15" customHeight="1" x14ac:dyDescent="0.3">
      <c r="A8" s="313" t="s">
        <v>279</v>
      </c>
      <c r="B8" s="313" t="s">
        <v>279</v>
      </c>
      <c r="C8" s="315" t="s">
        <v>1050</v>
      </c>
      <c r="D8" s="194"/>
      <c r="E8" s="175" t="s">
        <v>1055</v>
      </c>
      <c r="F8" s="191" t="s">
        <v>1060</v>
      </c>
      <c r="G8" s="215" t="s">
        <v>31</v>
      </c>
      <c r="H8" s="169" t="s">
        <v>865</v>
      </c>
      <c r="I8" s="195">
        <v>45774</v>
      </c>
      <c r="J8" s="295">
        <v>45775</v>
      </c>
      <c r="K8" s="280">
        <v>1948.5500000000002</v>
      </c>
      <c r="L8" s="265">
        <v>1485.2199999999998</v>
      </c>
      <c r="M8" s="280">
        <f>K8+L8</f>
        <v>3433.77</v>
      </c>
      <c r="N8" s="194">
        <f t="shared" si="2"/>
        <v>2</v>
      </c>
      <c r="O8" s="281">
        <v>200</v>
      </c>
      <c r="P8" s="293">
        <v>0</v>
      </c>
      <c r="Q8" s="170">
        <v>0</v>
      </c>
      <c r="R8" s="307">
        <f t="shared" si="0"/>
        <v>400</v>
      </c>
      <c r="S8" s="306">
        <f t="shared" si="3"/>
        <v>3833.77</v>
      </c>
      <c r="T8" s="306">
        <f t="shared" si="1"/>
        <v>3833.77</v>
      </c>
    </row>
    <row r="9" spans="1:22" s="263" customFormat="1" ht="27.75" customHeight="1" x14ac:dyDescent="0.3">
      <c r="A9" s="126" t="s">
        <v>250</v>
      </c>
      <c r="B9" s="313" t="s">
        <v>1042</v>
      </c>
      <c r="C9" s="315" t="s">
        <v>378</v>
      </c>
      <c r="D9" s="194" t="s">
        <v>74</v>
      </c>
      <c r="E9" s="175" t="s">
        <v>896</v>
      </c>
      <c r="F9" s="169"/>
      <c r="G9" s="215" t="s">
        <v>31</v>
      </c>
      <c r="H9" s="169" t="s">
        <v>865</v>
      </c>
      <c r="I9" s="195">
        <v>45774</v>
      </c>
      <c r="J9" s="295">
        <v>45775</v>
      </c>
      <c r="K9" s="280">
        <v>1992.7900000000002</v>
      </c>
      <c r="L9" s="265">
        <v>871.85</v>
      </c>
      <c r="M9" s="280">
        <f>K9+L9</f>
        <v>2864.6400000000003</v>
      </c>
      <c r="N9" s="194">
        <v>0</v>
      </c>
      <c r="O9" s="281">
        <v>200</v>
      </c>
      <c r="P9" s="293">
        <v>0</v>
      </c>
      <c r="Q9" s="170">
        <v>0</v>
      </c>
      <c r="R9" s="307">
        <f t="shared" si="0"/>
        <v>0</v>
      </c>
      <c r="S9" s="306">
        <f t="shared" si="3"/>
        <v>2864.6400000000003</v>
      </c>
      <c r="T9" s="306">
        <f t="shared" si="1"/>
        <v>2864.6400000000003</v>
      </c>
    </row>
    <row r="10" spans="1:22" s="263" customFormat="1" ht="15" customHeight="1" x14ac:dyDescent="0.3">
      <c r="A10" s="313" t="s">
        <v>279</v>
      </c>
      <c r="B10" s="313" t="s">
        <v>1052</v>
      </c>
      <c r="C10" s="316" t="s">
        <v>135</v>
      </c>
      <c r="D10" s="194">
        <v>230</v>
      </c>
      <c r="E10" s="175" t="s">
        <v>411</v>
      </c>
      <c r="F10" s="169" t="s">
        <v>1057</v>
      </c>
      <c r="G10" s="215" t="s">
        <v>31</v>
      </c>
      <c r="H10" s="169" t="s">
        <v>1049</v>
      </c>
      <c r="I10" s="195">
        <v>45755</v>
      </c>
      <c r="J10" s="264" t="s">
        <v>74</v>
      </c>
      <c r="K10" s="280">
        <v>1796.9099999999999</v>
      </c>
      <c r="L10" s="280"/>
      <c r="M10" s="280">
        <f>K10+L10</f>
        <v>1796.9099999999999</v>
      </c>
      <c r="N10" s="194">
        <v>1</v>
      </c>
      <c r="O10" s="281">
        <v>200</v>
      </c>
      <c r="P10" s="293">
        <v>0</v>
      </c>
      <c r="Q10" s="170">
        <v>0</v>
      </c>
      <c r="R10" s="307">
        <f t="shared" si="0"/>
        <v>200</v>
      </c>
      <c r="S10" s="306">
        <f t="shared" si="3"/>
        <v>1996.9099999999999</v>
      </c>
      <c r="T10" s="306">
        <f t="shared" si="1"/>
        <v>1996.9099999999999</v>
      </c>
    </row>
    <row r="11" spans="1:22" s="263" customFormat="1" ht="15" customHeight="1" x14ac:dyDescent="0.3">
      <c r="A11" s="313" t="s">
        <v>279</v>
      </c>
      <c r="B11" s="313" t="s">
        <v>1052</v>
      </c>
      <c r="C11" s="315" t="s">
        <v>135</v>
      </c>
      <c r="D11" s="194">
        <v>230</v>
      </c>
      <c r="E11" s="175" t="s">
        <v>411</v>
      </c>
      <c r="F11" s="169" t="s">
        <v>1058</v>
      </c>
      <c r="G11" s="215" t="s">
        <v>31</v>
      </c>
      <c r="H11" s="169" t="s">
        <v>870</v>
      </c>
      <c r="I11" s="195">
        <v>45757</v>
      </c>
      <c r="J11" s="288">
        <v>45760</v>
      </c>
      <c r="K11" s="201">
        <v>1658.74</v>
      </c>
      <c r="L11" s="201">
        <v>1796.9099999999999</v>
      </c>
      <c r="M11" s="201">
        <f>K11+L11</f>
        <v>3455.6499999999996</v>
      </c>
      <c r="N11" s="194">
        <f t="shared" si="2"/>
        <v>4</v>
      </c>
      <c r="O11" s="281">
        <v>200</v>
      </c>
      <c r="P11" s="293">
        <v>0</v>
      </c>
      <c r="Q11" s="170">
        <v>0</v>
      </c>
      <c r="R11" s="307">
        <f t="shared" si="0"/>
        <v>800</v>
      </c>
      <c r="S11" s="306">
        <f t="shared" si="3"/>
        <v>4255.6499999999996</v>
      </c>
      <c r="T11" s="306">
        <f t="shared" si="1"/>
        <v>4255.6499999999996</v>
      </c>
    </row>
    <row r="12" spans="1:22" s="263" customFormat="1" ht="15" customHeight="1" x14ac:dyDescent="0.3">
      <c r="A12" s="313" t="s">
        <v>279</v>
      </c>
      <c r="B12" s="331" t="s">
        <v>1053</v>
      </c>
      <c r="C12" s="315" t="s">
        <v>996</v>
      </c>
      <c r="D12" s="194">
        <v>416</v>
      </c>
      <c r="E12" s="175" t="s">
        <v>1054</v>
      </c>
      <c r="F12" s="169" t="s">
        <v>1057</v>
      </c>
      <c r="G12" s="215" t="s">
        <v>31</v>
      </c>
      <c r="H12" s="169" t="s">
        <v>865</v>
      </c>
      <c r="I12" s="195">
        <v>45755</v>
      </c>
      <c r="J12" s="288">
        <v>45757</v>
      </c>
      <c r="K12" s="201">
        <f t="shared" ref="K12" si="5">M12/2</f>
        <v>1254.9599999999998</v>
      </c>
      <c r="L12" s="201">
        <f t="shared" ref="L12" si="6">M12/2</f>
        <v>1254.9599999999998</v>
      </c>
      <c r="M12" s="201">
        <v>2509.9199999999996</v>
      </c>
      <c r="N12" s="194">
        <f t="shared" si="2"/>
        <v>3</v>
      </c>
      <c r="O12" s="281">
        <v>200</v>
      </c>
      <c r="P12" s="293">
        <v>0</v>
      </c>
      <c r="Q12" s="170">
        <v>0</v>
      </c>
      <c r="R12" s="307">
        <f t="shared" si="0"/>
        <v>600</v>
      </c>
      <c r="S12" s="306">
        <f t="shared" si="3"/>
        <v>3109.9199999999996</v>
      </c>
      <c r="T12" s="306">
        <f t="shared" si="1"/>
        <v>3109.9199999999996</v>
      </c>
    </row>
    <row r="13" spans="1:22" s="263" customFormat="1" ht="15" customHeight="1" x14ac:dyDescent="0.3">
      <c r="A13" s="313" t="s">
        <v>279</v>
      </c>
      <c r="B13" s="126" t="s">
        <v>250</v>
      </c>
      <c r="C13" s="479" t="s">
        <v>819</v>
      </c>
      <c r="D13" s="194" t="s">
        <v>74</v>
      </c>
      <c r="E13" s="175" t="s">
        <v>897</v>
      </c>
      <c r="F13" s="169" t="s">
        <v>1059</v>
      </c>
      <c r="G13" s="215" t="s">
        <v>31</v>
      </c>
      <c r="H13" s="169" t="s">
        <v>1051</v>
      </c>
      <c r="I13" s="195">
        <v>45763</v>
      </c>
      <c r="J13" s="195" t="s">
        <v>74</v>
      </c>
      <c r="K13" s="201">
        <v>1370.6000000000001</v>
      </c>
      <c r="L13" s="201"/>
      <c r="M13" s="201">
        <f>K13</f>
        <v>1370.6000000000001</v>
      </c>
      <c r="N13" s="194">
        <v>0</v>
      </c>
      <c r="O13" s="281">
        <v>200</v>
      </c>
      <c r="P13" s="293">
        <v>0</v>
      </c>
      <c r="Q13" s="170">
        <v>0</v>
      </c>
      <c r="R13" s="307">
        <f t="shared" si="0"/>
        <v>0</v>
      </c>
      <c r="S13" s="306">
        <f t="shared" si="3"/>
        <v>1370.6000000000001</v>
      </c>
      <c r="T13" s="306">
        <f t="shared" si="1"/>
        <v>1370.6000000000001</v>
      </c>
      <c r="V13" s="330"/>
    </row>
    <row r="14" spans="1:22" s="329" customFormat="1" ht="15" customHeight="1" x14ac:dyDescent="0.3">
      <c r="A14" s="313" t="s">
        <v>279</v>
      </c>
      <c r="B14" s="126" t="s">
        <v>250</v>
      </c>
      <c r="C14" s="480"/>
      <c r="D14" s="194" t="s">
        <v>74</v>
      </c>
      <c r="E14" s="175" t="s">
        <v>897</v>
      </c>
      <c r="F14" s="169" t="s">
        <v>1059</v>
      </c>
      <c r="G14" s="215" t="s">
        <v>31</v>
      </c>
      <c r="H14" s="169" t="s">
        <v>1051</v>
      </c>
      <c r="I14" s="195">
        <v>45763</v>
      </c>
      <c r="J14" s="195" t="s">
        <v>74</v>
      </c>
      <c r="K14" s="201">
        <v>1405.33</v>
      </c>
      <c r="L14" s="201"/>
      <c r="M14" s="201">
        <f t="shared" ref="M14:M18" si="7">K14</f>
        <v>1405.33</v>
      </c>
      <c r="N14" s="194">
        <v>0</v>
      </c>
      <c r="O14" s="281">
        <v>200</v>
      </c>
      <c r="P14" s="293">
        <v>0</v>
      </c>
      <c r="Q14" s="170">
        <v>0</v>
      </c>
      <c r="R14" s="307">
        <f t="shared" ref="R14:R19" si="8">N14*O14+P14*Q14</f>
        <v>0</v>
      </c>
      <c r="S14" s="306">
        <f t="shared" si="3"/>
        <v>1405.33</v>
      </c>
      <c r="T14" s="306">
        <f t="shared" ref="T14:T19" si="9">S14</f>
        <v>1405.33</v>
      </c>
      <c r="U14" s="263"/>
    </row>
    <row r="15" spans="1:22" s="329" customFormat="1" ht="15" customHeight="1" x14ac:dyDescent="0.3">
      <c r="A15" s="313" t="s">
        <v>279</v>
      </c>
      <c r="B15" s="126" t="s">
        <v>250</v>
      </c>
      <c r="C15" s="480"/>
      <c r="D15" s="194" t="s">
        <v>74</v>
      </c>
      <c r="E15" s="175" t="s">
        <v>897</v>
      </c>
      <c r="F15" s="191" t="s">
        <v>1062</v>
      </c>
      <c r="G15" s="215" t="s">
        <v>31</v>
      </c>
      <c r="H15" s="169" t="s">
        <v>940</v>
      </c>
      <c r="I15" s="195">
        <v>45774</v>
      </c>
      <c r="J15" s="195" t="s">
        <v>74</v>
      </c>
      <c r="K15" s="201">
        <v>3445.77</v>
      </c>
      <c r="L15" s="201"/>
      <c r="M15" s="201">
        <f t="shared" si="7"/>
        <v>3445.77</v>
      </c>
      <c r="N15" s="194">
        <v>0</v>
      </c>
      <c r="O15" s="281">
        <v>200</v>
      </c>
      <c r="P15" s="293">
        <v>0</v>
      </c>
      <c r="Q15" s="170">
        <v>0</v>
      </c>
      <c r="R15" s="307">
        <f t="shared" si="8"/>
        <v>0</v>
      </c>
      <c r="S15" s="306">
        <f t="shared" si="3"/>
        <v>3445.77</v>
      </c>
      <c r="T15" s="306">
        <f t="shared" si="9"/>
        <v>3445.77</v>
      </c>
      <c r="U15" s="263"/>
    </row>
    <row r="16" spans="1:22" s="329" customFormat="1" ht="15" customHeight="1" x14ac:dyDescent="0.3">
      <c r="A16" s="313" t="s">
        <v>279</v>
      </c>
      <c r="B16" s="126" t="s">
        <v>250</v>
      </c>
      <c r="C16" s="480"/>
      <c r="D16" s="194" t="s">
        <v>74</v>
      </c>
      <c r="E16" s="175" t="s">
        <v>897</v>
      </c>
      <c r="F16" s="479" t="s">
        <v>1063</v>
      </c>
      <c r="G16" s="215" t="s">
        <v>31</v>
      </c>
      <c r="H16" s="169" t="s">
        <v>864</v>
      </c>
      <c r="I16" s="195">
        <v>45775</v>
      </c>
      <c r="J16" s="195" t="s">
        <v>74</v>
      </c>
      <c r="K16" s="201">
        <v>450</v>
      </c>
      <c r="L16" s="201"/>
      <c r="M16" s="201">
        <f t="shared" si="7"/>
        <v>450</v>
      </c>
      <c r="N16" s="194">
        <v>0</v>
      </c>
      <c r="O16" s="281">
        <v>200</v>
      </c>
      <c r="P16" s="293">
        <v>0</v>
      </c>
      <c r="Q16" s="170">
        <v>0</v>
      </c>
      <c r="R16" s="307">
        <f t="shared" si="8"/>
        <v>0</v>
      </c>
      <c r="S16" s="306">
        <f t="shared" si="3"/>
        <v>450</v>
      </c>
      <c r="T16" s="306">
        <f t="shared" si="9"/>
        <v>450</v>
      </c>
      <c r="U16" s="263"/>
    </row>
    <row r="17" spans="1:22" s="329" customFormat="1" ht="15" customHeight="1" x14ac:dyDescent="0.3">
      <c r="A17" s="313" t="s">
        <v>279</v>
      </c>
      <c r="B17" s="126" t="s">
        <v>250</v>
      </c>
      <c r="C17" s="480"/>
      <c r="D17" s="194" t="s">
        <v>74</v>
      </c>
      <c r="E17" s="175" t="s">
        <v>897</v>
      </c>
      <c r="F17" s="480"/>
      <c r="G17" s="215" t="s">
        <v>31</v>
      </c>
      <c r="H17" s="169" t="s">
        <v>864</v>
      </c>
      <c r="I17" s="195">
        <v>45776</v>
      </c>
      <c r="J17" s="195" t="s">
        <v>74</v>
      </c>
      <c r="K17" s="201">
        <v>1250.4199999999998</v>
      </c>
      <c r="L17" s="201"/>
      <c r="M17" s="201">
        <f t="shared" si="7"/>
        <v>1250.4199999999998</v>
      </c>
      <c r="N17" s="194">
        <v>0</v>
      </c>
      <c r="O17" s="281">
        <v>200</v>
      </c>
      <c r="P17" s="293">
        <v>0</v>
      </c>
      <c r="Q17" s="170">
        <v>0</v>
      </c>
      <c r="R17" s="307">
        <f t="shared" si="8"/>
        <v>0</v>
      </c>
      <c r="S17" s="306">
        <f t="shared" si="3"/>
        <v>1250.4199999999998</v>
      </c>
      <c r="T17" s="306">
        <f t="shared" si="9"/>
        <v>1250.4199999999998</v>
      </c>
      <c r="U17" s="263"/>
    </row>
    <row r="18" spans="1:22" s="329" customFormat="1" ht="15" customHeight="1" x14ac:dyDescent="0.3">
      <c r="A18" s="313" t="s">
        <v>279</v>
      </c>
      <c r="B18" s="126" t="s">
        <v>250</v>
      </c>
      <c r="C18" s="481"/>
      <c r="D18" s="194" t="s">
        <v>74</v>
      </c>
      <c r="E18" s="175" t="s">
        <v>897</v>
      </c>
      <c r="F18" s="481"/>
      <c r="G18" s="215" t="s">
        <v>31</v>
      </c>
      <c r="H18" s="169" t="s">
        <v>1051</v>
      </c>
      <c r="I18" s="195">
        <v>45777</v>
      </c>
      <c r="J18" s="195" t="s">
        <v>74</v>
      </c>
      <c r="K18" s="201">
        <v>1931.6000000000001</v>
      </c>
      <c r="L18" s="201"/>
      <c r="M18" s="201">
        <f t="shared" si="7"/>
        <v>1931.6000000000001</v>
      </c>
      <c r="N18" s="194">
        <v>0</v>
      </c>
      <c r="O18" s="281">
        <v>200</v>
      </c>
      <c r="P18" s="293">
        <v>0</v>
      </c>
      <c r="Q18" s="170">
        <v>0</v>
      </c>
      <c r="R18" s="307">
        <f t="shared" si="8"/>
        <v>0</v>
      </c>
      <c r="S18" s="306">
        <f t="shared" si="3"/>
        <v>1931.6000000000001</v>
      </c>
      <c r="T18" s="306">
        <f t="shared" si="9"/>
        <v>1931.6000000000001</v>
      </c>
      <c r="U18" s="263"/>
    </row>
    <row r="19" spans="1:22" s="329" customFormat="1" ht="15" customHeight="1" x14ac:dyDescent="0.3">
      <c r="A19" s="126" t="s">
        <v>229</v>
      </c>
      <c r="B19" s="313" t="s">
        <v>229</v>
      </c>
      <c r="C19" s="126" t="s">
        <v>1037</v>
      </c>
      <c r="D19" s="194" t="s">
        <v>74</v>
      </c>
      <c r="E19" s="175" t="s">
        <v>90</v>
      </c>
      <c r="F19" s="169" t="s">
        <v>1064</v>
      </c>
      <c r="G19" s="215" t="s">
        <v>31</v>
      </c>
      <c r="H19" s="169" t="s">
        <v>865</v>
      </c>
      <c r="I19" s="195">
        <v>45772</v>
      </c>
      <c r="J19" s="288">
        <v>45775</v>
      </c>
      <c r="K19" s="201">
        <f>M19/2</f>
        <v>1204.0249999999999</v>
      </c>
      <c r="L19" s="201">
        <f>M19/2</f>
        <v>1204.0249999999999</v>
      </c>
      <c r="M19" s="201">
        <v>2408.0499999999997</v>
      </c>
      <c r="N19" s="194">
        <v>0</v>
      </c>
      <c r="O19" s="281">
        <v>200</v>
      </c>
      <c r="P19" s="293">
        <v>0</v>
      </c>
      <c r="Q19" s="170">
        <v>0</v>
      </c>
      <c r="R19" s="307">
        <f t="shared" si="8"/>
        <v>0</v>
      </c>
      <c r="S19" s="306">
        <f t="shared" si="3"/>
        <v>2408.0499999999997</v>
      </c>
      <c r="T19" s="306">
        <f t="shared" si="9"/>
        <v>2408.0499999999997</v>
      </c>
      <c r="U19" s="263"/>
    </row>
    <row r="20" spans="1:22" s="329" customFormat="1" ht="15" customHeight="1" x14ac:dyDescent="0.3">
      <c r="A20" s="317"/>
      <c r="B20" s="317"/>
      <c r="D20" s="276"/>
      <c r="E20" s="221"/>
      <c r="F20" s="166"/>
      <c r="G20" s="318"/>
      <c r="H20" s="166"/>
      <c r="I20" s="319"/>
      <c r="J20" s="320"/>
      <c r="K20" s="321"/>
      <c r="L20" s="321"/>
      <c r="M20" s="245">
        <f>SUM(M5:M19)</f>
        <v>32269.929999999993</v>
      </c>
      <c r="N20" s="322"/>
      <c r="O20" s="281"/>
      <c r="P20" s="324"/>
      <c r="Q20" s="325"/>
      <c r="R20" s="326"/>
      <c r="S20" s="327"/>
      <c r="T20" s="328"/>
    </row>
    <row r="21" spans="1:22" s="329" customFormat="1" ht="15" customHeight="1" x14ac:dyDescent="0.3">
      <c r="A21" s="317"/>
      <c r="B21" s="317"/>
      <c r="C21" s="166"/>
      <c r="D21" s="276"/>
      <c r="E21" s="221"/>
      <c r="F21" s="166"/>
      <c r="G21" s="318"/>
      <c r="H21" s="166"/>
      <c r="I21" s="319"/>
      <c r="J21" s="320"/>
      <c r="L21" s="321"/>
      <c r="M21" s="321"/>
      <c r="N21" s="322"/>
      <c r="O21" s="323"/>
      <c r="P21" s="324"/>
      <c r="Q21" s="325"/>
      <c r="R21" s="326"/>
      <c r="S21" s="327"/>
      <c r="T21" s="328"/>
    </row>
    <row r="22" spans="1:22" s="329" customFormat="1" ht="15" customHeight="1" x14ac:dyDescent="0.3">
      <c r="A22" s="317"/>
      <c r="B22" s="317"/>
      <c r="C22" s="166"/>
      <c r="D22" s="276"/>
      <c r="E22" s="221"/>
      <c r="F22" s="166"/>
      <c r="G22" s="318"/>
      <c r="H22" s="166"/>
      <c r="I22" s="319"/>
      <c r="J22" s="320"/>
      <c r="K22" s="321"/>
      <c r="L22" s="321"/>
      <c r="M22" s="321"/>
      <c r="N22" s="322"/>
      <c r="O22" s="323"/>
      <c r="P22" s="324"/>
      <c r="Q22" s="325"/>
      <c r="R22" s="326"/>
      <c r="S22" s="327"/>
      <c r="T22" s="328"/>
    </row>
    <row r="23" spans="1:22" s="329" customFormat="1" ht="15" customHeight="1" x14ac:dyDescent="0.3">
      <c r="A23" s="317"/>
      <c r="B23" s="317"/>
      <c r="C23" s="166"/>
      <c r="D23" s="276"/>
      <c r="E23" s="221"/>
      <c r="F23" s="166"/>
      <c r="G23" s="318"/>
      <c r="H23" s="166"/>
      <c r="I23" s="319"/>
      <c r="J23" s="320"/>
      <c r="K23" s="321"/>
      <c r="L23" s="321"/>
      <c r="M23" s="321"/>
      <c r="N23" s="322"/>
      <c r="O23" s="323"/>
      <c r="P23" s="324"/>
      <c r="Q23" s="325"/>
      <c r="R23" s="326"/>
      <c r="S23" s="327"/>
      <c r="T23" s="328"/>
    </row>
    <row r="24" spans="1:22" x14ac:dyDescent="0.35">
      <c r="M24" s="208">
        <f>SUM(M5:M13)</f>
        <v>21378.759999999995</v>
      </c>
    </row>
    <row r="26" spans="1:22" s="165" customFormat="1" x14ac:dyDescent="0.35">
      <c r="A26"/>
      <c r="B26"/>
      <c r="D26"/>
      <c r="E26" s="221"/>
      <c r="F26" s="166"/>
      <c r="G26"/>
      <c r="H26" s="208"/>
      <c r="K26" s="208"/>
      <c r="L26" s="208"/>
      <c r="N26" s="166"/>
      <c r="P26"/>
      <c r="Q26"/>
      <c r="R26"/>
      <c r="S26"/>
      <c r="T26"/>
      <c r="V26"/>
    </row>
  </sheetData>
  <mergeCells count="27"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F16:F18"/>
    <mergeCell ref="C13:C18"/>
    <mergeCell ref="P3:Q3"/>
    <mergeCell ref="R3:R4"/>
    <mergeCell ref="S3:S4"/>
    <mergeCell ref="I3:I4"/>
    <mergeCell ref="J3:J4"/>
    <mergeCell ref="K3:K4"/>
    <mergeCell ref="L3:L4"/>
    <mergeCell ref="M3:M4"/>
    <mergeCell ref="N3:O3"/>
    <mergeCell ref="H3:H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089F5-E8FF-42E9-AC31-894CA9FC1B8A}">
  <dimension ref="A1:V18"/>
  <sheetViews>
    <sheetView showGridLines="0" topLeftCell="F1" zoomScaleNormal="100" workbookViewId="0">
      <selection activeCell="R18" sqref="R18"/>
    </sheetView>
  </sheetViews>
  <sheetFormatPr defaultRowHeight="14.5" x14ac:dyDescent="0.35"/>
  <cols>
    <col min="1" max="1" width="38.5" bestFit="1" customWidth="1"/>
    <col min="2" max="2" width="43.33203125" customWidth="1"/>
    <col min="3" max="3" width="41.58203125" style="165" bestFit="1" customWidth="1"/>
    <col min="4" max="4" width="17.5" customWidth="1"/>
    <col min="5" max="5" width="21" style="221" bestFit="1" customWidth="1"/>
    <col min="6" max="6" width="36.5" style="166" customWidth="1"/>
    <col min="7" max="7" width="13.83203125" bestFit="1" customWidth="1"/>
    <col min="8" max="8" width="54.83203125" style="165" bestFit="1" customWidth="1"/>
    <col min="9" max="9" width="11.5" style="165" bestFit="1" customWidth="1"/>
    <col min="10" max="10" width="10.33203125" style="165" bestFit="1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</row>
    <row r="2" spans="1:22" x14ac:dyDescent="0.35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94"/>
      <c r="J2" s="394"/>
      <c r="K2" s="442" t="s">
        <v>7</v>
      </c>
      <c r="L2" s="442"/>
      <c r="M2" s="442"/>
      <c r="N2" s="337" t="s">
        <v>1</v>
      </c>
      <c r="O2" s="337"/>
      <c r="P2" s="337"/>
      <c r="Q2" s="337"/>
      <c r="R2" s="337"/>
      <c r="S2" s="337"/>
      <c r="T2" s="337" t="s">
        <v>8</v>
      </c>
      <c r="U2" s="443" t="s">
        <v>9</v>
      </c>
    </row>
    <row r="3" spans="1:22" s="167" customFormat="1" x14ac:dyDescent="0.3">
      <c r="A3" s="445" t="s">
        <v>10</v>
      </c>
      <c r="B3" s="445" t="s">
        <v>11</v>
      </c>
      <c r="C3" s="447" t="s">
        <v>12</v>
      </c>
      <c r="D3" s="445" t="s">
        <v>13</v>
      </c>
      <c r="E3" s="449" t="s">
        <v>14</v>
      </c>
      <c r="F3" s="447" t="s">
        <v>15</v>
      </c>
      <c r="G3" s="445" t="s">
        <v>16</v>
      </c>
      <c r="H3" s="458" t="s">
        <v>859</v>
      </c>
      <c r="I3" s="461" t="s">
        <v>19</v>
      </c>
      <c r="J3" s="461" t="s">
        <v>20</v>
      </c>
      <c r="K3" s="463" t="s">
        <v>21</v>
      </c>
      <c r="L3" s="465" t="s">
        <v>22</v>
      </c>
      <c r="M3" s="467" t="s">
        <v>23</v>
      </c>
      <c r="N3" s="467" t="s">
        <v>24</v>
      </c>
      <c r="O3" s="467"/>
      <c r="P3" s="453" t="s">
        <v>25</v>
      </c>
      <c r="Q3" s="453"/>
      <c r="R3" s="445" t="s">
        <v>26</v>
      </c>
      <c r="S3" s="453" t="s">
        <v>23</v>
      </c>
      <c r="T3" s="337"/>
      <c r="U3" s="443"/>
    </row>
    <row r="4" spans="1:22" s="167" customFormat="1" x14ac:dyDescent="0.3">
      <c r="A4" s="446"/>
      <c r="B4" s="446"/>
      <c r="C4" s="448"/>
      <c r="D4" s="446"/>
      <c r="E4" s="450"/>
      <c r="F4" s="448"/>
      <c r="G4" s="446"/>
      <c r="H4" s="459"/>
      <c r="I4" s="462"/>
      <c r="J4" s="462"/>
      <c r="K4" s="464"/>
      <c r="L4" s="466"/>
      <c r="M4" s="468"/>
      <c r="N4" s="209" t="s">
        <v>2</v>
      </c>
      <c r="O4" s="210" t="s">
        <v>30</v>
      </c>
      <c r="P4" s="211" t="s">
        <v>2</v>
      </c>
      <c r="Q4" s="212" t="s">
        <v>30</v>
      </c>
      <c r="R4" s="446"/>
      <c r="S4" s="460"/>
      <c r="T4" s="394"/>
      <c r="U4" s="444"/>
    </row>
    <row r="5" spans="1:22" x14ac:dyDescent="0.35">
      <c r="A5" s="262" t="s">
        <v>229</v>
      </c>
      <c r="B5" s="271" t="s">
        <v>952</v>
      </c>
      <c r="C5" s="314" t="s">
        <v>1065</v>
      </c>
      <c r="D5" s="334"/>
      <c r="E5" s="175" t="s">
        <v>931</v>
      </c>
      <c r="F5" s="175" t="s">
        <v>1086</v>
      </c>
      <c r="G5" s="215" t="s">
        <v>31</v>
      </c>
      <c r="H5" s="169" t="s">
        <v>860</v>
      </c>
      <c r="I5" s="195">
        <v>45789</v>
      </c>
      <c r="J5" s="264">
        <v>45791</v>
      </c>
      <c r="K5" s="265">
        <f>M5/2</f>
        <v>1251.345</v>
      </c>
      <c r="L5" s="265">
        <f>M5/2</f>
        <v>1251.345</v>
      </c>
      <c r="M5" s="265">
        <v>2502.69</v>
      </c>
      <c r="N5" s="194">
        <f t="shared" ref="N5:N13" si="0">(J5-I5)+1</f>
        <v>3</v>
      </c>
      <c r="O5" s="305">
        <v>200</v>
      </c>
      <c r="P5" s="293">
        <v>0</v>
      </c>
      <c r="Q5" s="130">
        <v>0</v>
      </c>
      <c r="R5" s="307">
        <f t="shared" ref="R5:R14" si="1">N5*O5+P5*Q5</f>
        <v>600</v>
      </c>
      <c r="S5" s="278">
        <f t="shared" ref="S5:S13" si="2">SUM(M5+R5)</f>
        <v>3102.69</v>
      </c>
      <c r="T5" s="306">
        <f t="shared" ref="T5:T16" si="3">S5</f>
        <v>3102.69</v>
      </c>
      <c r="U5" s="168"/>
      <c r="V5" s="44"/>
    </row>
    <row r="6" spans="1:22" ht="30" customHeight="1" x14ac:dyDescent="0.35">
      <c r="A6" s="262" t="s">
        <v>229</v>
      </c>
      <c r="B6" s="271" t="s">
        <v>952</v>
      </c>
      <c r="C6" s="315" t="s">
        <v>1067</v>
      </c>
      <c r="D6" s="334">
        <v>383</v>
      </c>
      <c r="E6" s="175" t="s">
        <v>1075</v>
      </c>
      <c r="F6" s="175" t="s">
        <v>1087</v>
      </c>
      <c r="G6" s="215" t="s">
        <v>31</v>
      </c>
      <c r="H6" s="169" t="s">
        <v>1066</v>
      </c>
      <c r="I6" s="195">
        <v>45783</v>
      </c>
      <c r="J6" s="264">
        <v>45786</v>
      </c>
      <c r="K6" s="280">
        <f>M6/2</f>
        <v>1963.47</v>
      </c>
      <c r="L6" s="265">
        <f>M6/2</f>
        <v>1963.47</v>
      </c>
      <c r="M6" s="280">
        <v>3926.94</v>
      </c>
      <c r="N6" s="194">
        <f t="shared" si="0"/>
        <v>4</v>
      </c>
      <c r="O6" s="305">
        <v>200</v>
      </c>
      <c r="P6" s="293">
        <v>0</v>
      </c>
      <c r="Q6" s="130">
        <v>0</v>
      </c>
      <c r="R6" s="307">
        <f t="shared" si="1"/>
        <v>800</v>
      </c>
      <c r="S6" s="278">
        <f t="shared" si="2"/>
        <v>4726.9400000000005</v>
      </c>
      <c r="T6" s="306">
        <f t="shared" si="3"/>
        <v>4726.9400000000005</v>
      </c>
      <c r="U6" s="168"/>
      <c r="V6" s="44"/>
    </row>
    <row r="7" spans="1:22" s="263" customFormat="1" ht="29.25" customHeight="1" x14ac:dyDescent="0.35">
      <c r="A7" s="126" t="s">
        <v>250</v>
      </c>
      <c r="B7" s="313" t="s">
        <v>1042</v>
      </c>
      <c r="C7" s="276" t="s">
        <v>924</v>
      </c>
      <c r="D7" s="334">
        <v>119</v>
      </c>
      <c r="E7" s="333" t="s">
        <v>927</v>
      </c>
      <c r="F7" s="191" t="s">
        <v>1088</v>
      </c>
      <c r="G7" s="215" t="s">
        <v>31</v>
      </c>
      <c r="H7" s="169" t="s">
        <v>1068</v>
      </c>
      <c r="I7" s="195">
        <v>45793</v>
      </c>
      <c r="J7" s="295"/>
      <c r="K7" s="280">
        <v>1766.1899999999998</v>
      </c>
      <c r="L7" s="265"/>
      <c r="M7" s="280">
        <v>1766.1899999999998</v>
      </c>
      <c r="N7" s="194">
        <v>1</v>
      </c>
      <c r="O7" s="281">
        <v>0</v>
      </c>
      <c r="P7" s="293">
        <v>0</v>
      </c>
      <c r="Q7" s="170">
        <v>0</v>
      </c>
      <c r="R7" s="307">
        <f t="shared" si="1"/>
        <v>0</v>
      </c>
      <c r="S7" s="278">
        <f t="shared" si="2"/>
        <v>1766.1899999999998</v>
      </c>
      <c r="T7" s="306">
        <f t="shared" si="3"/>
        <v>1766.1899999999998</v>
      </c>
    </row>
    <row r="8" spans="1:22" s="263" customFormat="1" ht="15" customHeight="1" x14ac:dyDescent="0.35">
      <c r="A8" s="313" t="s">
        <v>279</v>
      </c>
      <c r="B8" s="515" t="s">
        <v>1073</v>
      </c>
      <c r="C8" s="479" t="s">
        <v>1050</v>
      </c>
      <c r="D8" s="334"/>
      <c r="E8" s="175" t="s">
        <v>1076</v>
      </c>
      <c r="F8" s="479" t="s">
        <v>1084</v>
      </c>
      <c r="G8" s="215" t="s">
        <v>31</v>
      </c>
      <c r="H8" s="169" t="s">
        <v>1069</v>
      </c>
      <c r="I8" s="195">
        <v>45802</v>
      </c>
      <c r="J8" s="295">
        <v>45802</v>
      </c>
      <c r="K8" s="280">
        <v>976.89</v>
      </c>
      <c r="L8" s="265"/>
      <c r="M8" s="280">
        <v>976.89</v>
      </c>
      <c r="N8" s="194">
        <f t="shared" si="0"/>
        <v>1</v>
      </c>
      <c r="O8" s="281">
        <v>200</v>
      </c>
      <c r="P8" s="293">
        <v>0</v>
      </c>
      <c r="Q8" s="170">
        <v>0</v>
      </c>
      <c r="R8" s="307">
        <f t="shared" si="1"/>
        <v>200</v>
      </c>
      <c r="S8" s="278">
        <f t="shared" si="2"/>
        <v>1176.8899999999999</v>
      </c>
      <c r="T8" s="306">
        <f t="shared" si="3"/>
        <v>1176.8899999999999</v>
      </c>
    </row>
    <row r="9" spans="1:22" s="263" customFormat="1" ht="27.75" customHeight="1" x14ac:dyDescent="0.35">
      <c r="A9" s="313" t="s">
        <v>279</v>
      </c>
      <c r="B9" s="516"/>
      <c r="C9" s="481"/>
      <c r="D9" s="334"/>
      <c r="E9" s="175" t="s">
        <v>1076</v>
      </c>
      <c r="F9" s="481"/>
      <c r="G9" s="215" t="s">
        <v>31</v>
      </c>
      <c r="H9" s="169" t="s">
        <v>1070</v>
      </c>
      <c r="I9" s="195">
        <v>45805</v>
      </c>
      <c r="J9" s="295">
        <v>45805</v>
      </c>
      <c r="L9" s="280">
        <v>775.79</v>
      </c>
      <c r="M9" s="280">
        <v>775.79</v>
      </c>
      <c r="N9" s="194">
        <f>(J9-I9)+1</f>
        <v>1</v>
      </c>
      <c r="O9" s="281">
        <v>200</v>
      </c>
      <c r="P9" s="293">
        <v>0</v>
      </c>
      <c r="Q9" s="170">
        <v>0</v>
      </c>
      <c r="R9" s="307">
        <f>N9*O9+P9*Q9</f>
        <v>200</v>
      </c>
      <c r="S9" s="278">
        <f t="shared" si="2"/>
        <v>975.79</v>
      </c>
      <c r="T9" s="306">
        <f>S9</f>
        <v>975.79</v>
      </c>
    </row>
    <row r="10" spans="1:22" s="263" customFormat="1" ht="30" customHeight="1" x14ac:dyDescent="0.35">
      <c r="A10" s="313" t="s">
        <v>279</v>
      </c>
      <c r="B10" s="313" t="s">
        <v>279</v>
      </c>
      <c r="C10" s="315" t="s">
        <v>819</v>
      </c>
      <c r="D10" s="334"/>
      <c r="E10" s="175" t="s">
        <v>897</v>
      </c>
      <c r="F10" s="191" t="s">
        <v>1089</v>
      </c>
      <c r="G10" s="215" t="s">
        <v>31</v>
      </c>
      <c r="H10" s="169" t="s">
        <v>1051</v>
      </c>
      <c r="I10" s="195">
        <v>45807</v>
      </c>
      <c r="J10" s="295"/>
      <c r="K10" s="280">
        <v>3631.33</v>
      </c>
      <c r="L10" s="265"/>
      <c r="M10" s="280">
        <v>3631.33</v>
      </c>
      <c r="N10" s="194">
        <v>1</v>
      </c>
      <c r="O10" s="281">
        <v>200</v>
      </c>
      <c r="P10" s="293">
        <v>0</v>
      </c>
      <c r="Q10" s="170">
        <v>0</v>
      </c>
      <c r="R10" s="307">
        <f t="shared" si="1"/>
        <v>200</v>
      </c>
      <c r="S10" s="278">
        <f t="shared" si="2"/>
        <v>3831.33</v>
      </c>
      <c r="T10" s="306">
        <f t="shared" si="3"/>
        <v>3831.33</v>
      </c>
    </row>
    <row r="11" spans="1:22" s="263" customFormat="1" ht="36.75" customHeight="1" x14ac:dyDescent="0.35">
      <c r="A11" s="313" t="s">
        <v>279</v>
      </c>
      <c r="B11" s="332" t="s">
        <v>1073</v>
      </c>
      <c r="C11" s="316" t="s">
        <v>447</v>
      </c>
      <c r="D11" s="334">
        <v>336</v>
      </c>
      <c r="E11" s="175" t="s">
        <v>1077</v>
      </c>
      <c r="F11" s="175" t="s">
        <v>1083</v>
      </c>
      <c r="G11" s="215" t="s">
        <v>31</v>
      </c>
      <c r="H11" s="169" t="s">
        <v>1071</v>
      </c>
      <c r="I11" s="195">
        <v>45803</v>
      </c>
      <c r="J11" s="295">
        <v>45805</v>
      </c>
      <c r="K11" s="280">
        <f>M11/2</f>
        <v>754.59500000000003</v>
      </c>
      <c r="L11" s="280">
        <f>M11/2</f>
        <v>754.59500000000003</v>
      </c>
      <c r="M11" s="280">
        <v>1509.19</v>
      </c>
      <c r="N11" s="194">
        <v>3</v>
      </c>
      <c r="O11" s="281">
        <v>200</v>
      </c>
      <c r="P11" s="293">
        <v>0</v>
      </c>
      <c r="Q11" s="170">
        <v>0</v>
      </c>
      <c r="R11" s="307">
        <f t="shared" si="1"/>
        <v>600</v>
      </c>
      <c r="S11" s="278">
        <f t="shared" si="2"/>
        <v>2109.19</v>
      </c>
      <c r="T11" s="306">
        <f t="shared" si="3"/>
        <v>2109.19</v>
      </c>
    </row>
    <row r="12" spans="1:22" s="263" customFormat="1" ht="45" customHeight="1" x14ac:dyDescent="0.35">
      <c r="A12" s="262" t="s">
        <v>229</v>
      </c>
      <c r="B12" s="271" t="s">
        <v>952</v>
      </c>
      <c r="C12" s="315" t="s">
        <v>646</v>
      </c>
      <c r="D12" s="334"/>
      <c r="E12" s="175" t="s">
        <v>1080</v>
      </c>
      <c r="F12" s="175" t="s">
        <v>1082</v>
      </c>
      <c r="G12" s="215" t="s">
        <v>31</v>
      </c>
      <c r="H12" s="169" t="s">
        <v>1068</v>
      </c>
      <c r="I12" s="195">
        <v>45792</v>
      </c>
      <c r="J12" s="288"/>
      <c r="K12" s="201">
        <v>928.21</v>
      </c>
      <c r="L12" s="201"/>
      <c r="M12" s="201">
        <v>928.21</v>
      </c>
      <c r="N12" s="194">
        <v>1</v>
      </c>
      <c r="O12" s="281">
        <v>200</v>
      </c>
      <c r="P12" s="293">
        <v>0</v>
      </c>
      <c r="Q12" s="170">
        <v>0</v>
      </c>
      <c r="R12" s="307">
        <f t="shared" si="1"/>
        <v>200</v>
      </c>
      <c r="S12" s="278">
        <f t="shared" si="2"/>
        <v>1128.21</v>
      </c>
      <c r="T12" s="306">
        <f t="shared" si="3"/>
        <v>1128.21</v>
      </c>
    </row>
    <row r="13" spans="1:22" s="263" customFormat="1" ht="29.25" customHeight="1" x14ac:dyDescent="0.35">
      <c r="A13" s="126" t="s">
        <v>250</v>
      </c>
      <c r="B13" s="313" t="s">
        <v>1042</v>
      </c>
      <c r="C13" s="315" t="s">
        <v>923</v>
      </c>
      <c r="D13" s="334">
        <v>314</v>
      </c>
      <c r="E13" s="169" t="s">
        <v>1043</v>
      </c>
      <c r="F13" s="175" t="s">
        <v>1081</v>
      </c>
      <c r="G13" s="215" t="s">
        <v>31</v>
      </c>
      <c r="H13" s="169" t="s">
        <v>867</v>
      </c>
      <c r="I13" s="195">
        <v>45803</v>
      </c>
      <c r="J13" s="288">
        <v>45805</v>
      </c>
      <c r="K13" s="201">
        <f>M13/2</f>
        <v>775.625</v>
      </c>
      <c r="L13" s="201">
        <v>775.625</v>
      </c>
      <c r="M13" s="201">
        <v>1551.25</v>
      </c>
      <c r="N13" s="194">
        <f t="shared" si="0"/>
        <v>3</v>
      </c>
      <c r="O13" s="281">
        <v>200</v>
      </c>
      <c r="P13" s="293">
        <v>0</v>
      </c>
      <c r="Q13" s="170">
        <v>0</v>
      </c>
      <c r="R13" s="307">
        <f t="shared" si="1"/>
        <v>600</v>
      </c>
      <c r="S13" s="278">
        <f t="shared" si="2"/>
        <v>2151.25</v>
      </c>
      <c r="T13" s="306">
        <f t="shared" si="3"/>
        <v>2151.25</v>
      </c>
    </row>
    <row r="14" spans="1:22" s="263" customFormat="1" ht="29.25" customHeight="1" x14ac:dyDescent="0.35">
      <c r="A14" s="126" t="s">
        <v>250</v>
      </c>
      <c r="B14" s="332" t="s">
        <v>1074</v>
      </c>
      <c r="C14" s="315" t="s">
        <v>323</v>
      </c>
      <c r="D14" s="334">
        <v>87</v>
      </c>
      <c r="E14" s="175" t="s">
        <v>1078</v>
      </c>
      <c r="F14" s="175" t="s">
        <v>1083</v>
      </c>
      <c r="G14" s="215" t="s">
        <v>31</v>
      </c>
      <c r="H14" s="169" t="s">
        <v>1071</v>
      </c>
      <c r="I14" s="195">
        <v>45803</v>
      </c>
      <c r="J14" s="288">
        <v>45805</v>
      </c>
      <c r="K14" s="201">
        <f>M14/2</f>
        <v>827.79500000000007</v>
      </c>
      <c r="L14" s="201">
        <f>M14/2</f>
        <v>827.79500000000007</v>
      </c>
      <c r="M14" s="201">
        <v>1655.5900000000001</v>
      </c>
      <c r="N14" s="269">
        <v>3</v>
      </c>
      <c r="O14" s="281">
        <v>200</v>
      </c>
      <c r="P14" s="293">
        <v>0</v>
      </c>
      <c r="Q14" s="170">
        <v>0</v>
      </c>
      <c r="R14" s="307">
        <f t="shared" si="1"/>
        <v>600</v>
      </c>
      <c r="S14" s="278">
        <f>SUM(M14+R14)</f>
        <v>2255.59</v>
      </c>
      <c r="T14" s="306">
        <f t="shared" si="3"/>
        <v>2255.59</v>
      </c>
    </row>
    <row r="15" spans="1:22" x14ac:dyDescent="0.35">
      <c r="A15" s="262" t="s">
        <v>229</v>
      </c>
      <c r="B15" s="262" t="s">
        <v>229</v>
      </c>
      <c r="C15" s="169" t="s">
        <v>1072</v>
      </c>
      <c r="D15" s="79" t="s">
        <v>74</v>
      </c>
      <c r="E15" s="175" t="s">
        <v>1079</v>
      </c>
      <c r="F15" s="169" t="s">
        <v>1085</v>
      </c>
      <c r="G15" s="215" t="s">
        <v>31</v>
      </c>
      <c r="H15" s="169" t="s">
        <v>1048</v>
      </c>
      <c r="I15" s="195">
        <v>45792</v>
      </c>
      <c r="J15" s="195">
        <v>45793</v>
      </c>
      <c r="K15" s="201">
        <f>M15/2</f>
        <v>1272.9650000000001</v>
      </c>
      <c r="L15" s="201">
        <f>M15/2</f>
        <v>1272.9650000000001</v>
      </c>
      <c r="M15" s="201">
        <v>2545.9300000000003</v>
      </c>
      <c r="N15" s="169">
        <v>0</v>
      </c>
      <c r="O15" s="281">
        <v>200</v>
      </c>
      <c r="P15" s="293">
        <v>0</v>
      </c>
      <c r="Q15" s="170">
        <v>0</v>
      </c>
      <c r="R15" s="307">
        <f t="shared" ref="R15:R16" si="4">N15*O15+P15*Q15</f>
        <v>0</v>
      </c>
      <c r="S15" s="278">
        <f t="shared" ref="S15:S16" si="5">SUM(M15+R15)</f>
        <v>2545.9300000000003</v>
      </c>
      <c r="T15" s="306">
        <f t="shared" si="3"/>
        <v>2545.9300000000003</v>
      </c>
      <c r="U15" s="168"/>
    </row>
    <row r="16" spans="1:22" x14ac:dyDescent="0.35">
      <c r="A16" s="126" t="s">
        <v>250</v>
      </c>
      <c r="B16" s="126" t="s">
        <v>250</v>
      </c>
      <c r="C16" s="169" t="s">
        <v>378</v>
      </c>
      <c r="D16" s="79" t="s">
        <v>74</v>
      </c>
      <c r="E16" s="175" t="s">
        <v>896</v>
      </c>
      <c r="F16" s="169" t="s">
        <v>1085</v>
      </c>
      <c r="G16" s="215" t="s">
        <v>31</v>
      </c>
      <c r="H16" s="169" t="s">
        <v>1048</v>
      </c>
      <c r="I16" s="195">
        <v>45792</v>
      </c>
      <c r="J16" s="195">
        <v>45793</v>
      </c>
      <c r="K16" s="201">
        <f>M16/2</f>
        <v>1272.9650000000001</v>
      </c>
      <c r="L16" s="201">
        <f>M16/2</f>
        <v>1272.9650000000001</v>
      </c>
      <c r="M16" s="201">
        <v>2545.9300000000003</v>
      </c>
      <c r="N16" s="169">
        <v>0</v>
      </c>
      <c r="O16" s="281">
        <v>200</v>
      </c>
      <c r="P16" s="293">
        <v>0</v>
      </c>
      <c r="Q16" s="170">
        <v>0</v>
      </c>
      <c r="R16" s="307">
        <f t="shared" si="4"/>
        <v>0</v>
      </c>
      <c r="S16" s="278">
        <f t="shared" si="5"/>
        <v>2545.9300000000003</v>
      </c>
      <c r="T16" s="306">
        <f t="shared" si="3"/>
        <v>2545.9300000000003</v>
      </c>
      <c r="U16" s="168"/>
    </row>
    <row r="17" spans="1:22" s="165" customFormat="1" x14ac:dyDescent="0.35">
      <c r="A17"/>
      <c r="B17"/>
      <c r="D17"/>
      <c r="E17" s="221"/>
      <c r="F17" s="166"/>
      <c r="G17"/>
      <c r="H17" s="208"/>
      <c r="K17" s="208"/>
      <c r="L17" s="208"/>
      <c r="M17" s="208">
        <f>SUM(M5:M16)</f>
        <v>24315.93</v>
      </c>
      <c r="N17" s="166"/>
      <c r="P17"/>
      <c r="Q17"/>
      <c r="R17" s="335">
        <f>SUM(R5:R16)</f>
        <v>4000</v>
      </c>
      <c r="S17"/>
      <c r="T17"/>
      <c r="V17"/>
    </row>
    <row r="18" spans="1:22" x14ac:dyDescent="0.35">
      <c r="J18" s="208"/>
      <c r="L18" s="165"/>
      <c r="M18" s="166"/>
      <c r="N18" s="165"/>
      <c r="O18"/>
      <c r="T18" s="165"/>
      <c r="U18"/>
    </row>
  </sheetData>
  <mergeCells count="28">
    <mergeCell ref="L3:L4"/>
    <mergeCell ref="M3:M4"/>
    <mergeCell ref="N3:O3"/>
    <mergeCell ref="C3:C4"/>
    <mergeCell ref="D3:D4"/>
    <mergeCell ref="E3:E4"/>
    <mergeCell ref="F3:F4"/>
    <mergeCell ref="C8:C9"/>
    <mergeCell ref="B8:B9"/>
    <mergeCell ref="F8:F9"/>
    <mergeCell ref="I3:I4"/>
    <mergeCell ref="J3:J4"/>
    <mergeCell ref="G3:G4"/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P3:Q3"/>
    <mergeCell ref="R3:R4"/>
    <mergeCell ref="S3:S4"/>
    <mergeCell ref="K3:K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EC084-1CFA-4301-87E8-56E2F0F98D13}">
  <dimension ref="A1:U5"/>
  <sheetViews>
    <sheetView showGridLines="0" tabSelected="1" zoomScaleNormal="100" workbookViewId="0">
      <selection activeCell="D6" sqref="D6"/>
    </sheetView>
  </sheetViews>
  <sheetFormatPr defaultRowHeight="14.5" x14ac:dyDescent="0.35"/>
  <cols>
    <col min="1" max="1" width="38.5" bestFit="1" customWidth="1"/>
    <col min="2" max="2" width="43.33203125" customWidth="1"/>
    <col min="3" max="3" width="41.58203125" style="165" bestFit="1" customWidth="1"/>
    <col min="4" max="4" width="17.5" customWidth="1"/>
    <col min="5" max="5" width="21" style="221" bestFit="1" customWidth="1"/>
    <col min="6" max="6" width="36.5" style="166" customWidth="1"/>
    <col min="7" max="7" width="13.83203125" bestFit="1" customWidth="1"/>
    <col min="8" max="8" width="54.83203125" style="165" bestFit="1" customWidth="1"/>
    <col min="9" max="9" width="11.5" style="165" bestFit="1" customWidth="1"/>
    <col min="10" max="10" width="10.33203125" style="165" bestFit="1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1" ht="14" x14ac:dyDescent="0.3">
      <c r="A1" s="337" t="s">
        <v>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</row>
    <row r="2" spans="1:21" x14ac:dyDescent="0.35">
      <c r="A2" s="337" t="s">
        <v>5</v>
      </c>
      <c r="B2" s="337"/>
      <c r="C2" s="337" t="s">
        <v>6</v>
      </c>
      <c r="D2" s="337"/>
      <c r="E2" s="337"/>
      <c r="F2" s="337" t="s">
        <v>3</v>
      </c>
      <c r="G2" s="337"/>
      <c r="H2" s="337"/>
      <c r="I2" s="394"/>
      <c r="J2" s="394"/>
      <c r="K2" s="442" t="s">
        <v>7</v>
      </c>
      <c r="L2" s="442"/>
      <c r="M2" s="442"/>
      <c r="N2" s="337" t="s">
        <v>1</v>
      </c>
      <c r="O2" s="337"/>
      <c r="P2" s="337"/>
      <c r="Q2" s="337"/>
      <c r="R2" s="337"/>
      <c r="S2" s="337"/>
      <c r="T2" s="337" t="s">
        <v>8</v>
      </c>
      <c r="U2" s="443" t="s">
        <v>9</v>
      </c>
    </row>
    <row r="3" spans="1:21" s="167" customFormat="1" x14ac:dyDescent="0.3">
      <c r="A3" s="445" t="s">
        <v>10</v>
      </c>
      <c r="B3" s="445" t="s">
        <v>11</v>
      </c>
      <c r="C3" s="447" t="s">
        <v>12</v>
      </c>
      <c r="D3" s="445" t="s">
        <v>13</v>
      </c>
      <c r="E3" s="449" t="s">
        <v>14</v>
      </c>
      <c r="F3" s="447" t="s">
        <v>15</v>
      </c>
      <c r="G3" s="445" t="s">
        <v>16</v>
      </c>
      <c r="H3" s="458" t="s">
        <v>859</v>
      </c>
      <c r="I3" s="461" t="s">
        <v>19</v>
      </c>
      <c r="J3" s="461" t="s">
        <v>20</v>
      </c>
      <c r="K3" s="463" t="s">
        <v>21</v>
      </c>
      <c r="L3" s="465" t="s">
        <v>22</v>
      </c>
      <c r="M3" s="467" t="s">
        <v>23</v>
      </c>
      <c r="N3" s="467" t="s">
        <v>24</v>
      </c>
      <c r="O3" s="467"/>
      <c r="P3" s="453" t="s">
        <v>25</v>
      </c>
      <c r="Q3" s="453"/>
      <c r="R3" s="445" t="s">
        <v>26</v>
      </c>
      <c r="S3" s="453" t="s">
        <v>23</v>
      </c>
      <c r="T3" s="337"/>
      <c r="U3" s="443"/>
    </row>
    <row r="4" spans="1:21" s="167" customFormat="1" x14ac:dyDescent="0.3">
      <c r="A4" s="446"/>
      <c r="B4" s="446"/>
      <c r="C4" s="448"/>
      <c r="D4" s="446"/>
      <c r="E4" s="450"/>
      <c r="F4" s="448"/>
      <c r="G4" s="446"/>
      <c r="H4" s="459"/>
      <c r="I4" s="462"/>
      <c r="J4" s="462"/>
      <c r="K4" s="464"/>
      <c r="L4" s="466"/>
      <c r="M4" s="468"/>
      <c r="N4" s="209" t="s">
        <v>2</v>
      </c>
      <c r="O4" s="210" t="s">
        <v>30</v>
      </c>
      <c r="P4" s="211" t="s">
        <v>2</v>
      </c>
      <c r="Q4" s="212" t="s">
        <v>30</v>
      </c>
      <c r="R4" s="446"/>
      <c r="S4" s="460"/>
      <c r="T4" s="394"/>
      <c r="U4" s="444"/>
    </row>
    <row r="5" spans="1:21" s="263" customFormat="1" ht="30" customHeight="1" x14ac:dyDescent="0.35">
      <c r="A5" s="313" t="s">
        <v>279</v>
      </c>
      <c r="B5" s="313" t="s">
        <v>279</v>
      </c>
      <c r="C5" s="315" t="s">
        <v>819</v>
      </c>
      <c r="D5" s="334" t="s">
        <v>74</v>
      </c>
      <c r="E5" s="175" t="s">
        <v>897</v>
      </c>
      <c r="F5" s="191" t="s">
        <v>1090</v>
      </c>
      <c r="G5" s="215" t="s">
        <v>31</v>
      </c>
      <c r="H5" s="169" t="s">
        <v>1051</v>
      </c>
      <c r="I5" s="264">
        <v>45811</v>
      </c>
      <c r="J5" s="264">
        <v>45814</v>
      </c>
      <c r="K5" s="280">
        <v>3631.33</v>
      </c>
      <c r="L5" s="265"/>
      <c r="M5" s="280">
        <v>3142.25</v>
      </c>
      <c r="N5" s="194">
        <v>1</v>
      </c>
      <c r="O5" s="281">
        <v>200</v>
      </c>
      <c r="P5" s="293">
        <v>0</v>
      </c>
      <c r="Q5" s="170">
        <v>0</v>
      </c>
      <c r="R5" s="307">
        <f t="shared" ref="R5" si="0">N5*O5+P5*Q5</f>
        <v>200</v>
      </c>
      <c r="S5" s="278">
        <f t="shared" ref="S5" si="1">SUM(M5+R5)</f>
        <v>3342.25</v>
      </c>
      <c r="T5" s="306">
        <f t="shared" ref="T5" si="2">S5</f>
        <v>3342.25</v>
      </c>
    </row>
  </sheetData>
  <mergeCells count="25"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P3:Q3"/>
    <mergeCell ref="R3:R4"/>
    <mergeCell ref="S3:S4"/>
    <mergeCell ref="I3:I4"/>
    <mergeCell ref="J3:J4"/>
    <mergeCell ref="K3:K4"/>
    <mergeCell ref="L3:L4"/>
    <mergeCell ref="M3:M4"/>
    <mergeCell ref="N3:O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"/>
  <sheetViews>
    <sheetView workbookViewId="0"/>
  </sheetViews>
  <sheetFormatPr defaultRowHeight="14" x14ac:dyDescent="0.3"/>
  <sheetData/>
  <pageMargins left="0.511811024" right="0.511811024" top="0.78740157499999996" bottom="0.78740157499999996" header="0.31496062000000002" footer="0.3149606200000000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"/>
  <sheetViews>
    <sheetView workbookViewId="0"/>
  </sheetViews>
  <sheetFormatPr defaultRowHeight="1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94</vt:i4>
      </vt:variant>
    </vt:vector>
  </HeadingPairs>
  <TitlesOfParts>
    <vt:vector size="94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AGOSTO -_2019</vt:lpstr>
      <vt:lpstr>EXECUTADO_- SETEMBRO -_2019</vt:lpstr>
      <vt:lpstr>EXECUTADO_- OUTUBRO -_2019</vt:lpstr>
      <vt:lpstr>EXECUTADO_- NOVEMBRO -_2019</vt:lpstr>
      <vt:lpstr>EXECUTADO_- DEZEMBRO -_2019</vt:lpstr>
      <vt:lpstr>EXECUTADO_- JANEIRO -_2020</vt:lpstr>
      <vt:lpstr>EXECUTADO_- FEVEREIRO -_2020</vt:lpstr>
      <vt:lpstr>EXECUTADO_- MARÇO -_2020</vt:lpstr>
      <vt:lpstr>EXECUTADO_- ABRIL -_2020</vt:lpstr>
      <vt:lpstr>EXECUTADO_- MAIO -_2020</vt:lpstr>
      <vt:lpstr>EXECUTADO_- JUNHO -_2020</vt:lpstr>
      <vt:lpstr>EXECUTADO_- JULHO -_2020</vt:lpstr>
      <vt:lpstr>EXECUTADO_- AGOSTO -_2020</vt:lpstr>
      <vt:lpstr>EXECUTADO_- SETEMBRO -_2020</vt:lpstr>
      <vt:lpstr>EXECUTADO_- OUTUBRO -_2020</vt:lpstr>
      <vt:lpstr>EXECUTADO_- NOVEMBRO -_2020</vt:lpstr>
      <vt:lpstr>EXECUTADO_- DEZEMBRO -_2020</vt:lpstr>
      <vt:lpstr>EXECUTADO_- JANEIRO -_2021</vt:lpstr>
      <vt:lpstr>EXECUTADO_- FEVEREIRO -_2021</vt:lpstr>
      <vt:lpstr>EXECUTADO_- MARÇO -_2021</vt:lpstr>
      <vt:lpstr>EXECUTADO_- ABRIL -_2021</vt:lpstr>
      <vt:lpstr>EXECUTADO_- MAIO -_2021</vt:lpstr>
      <vt:lpstr>EXECUTADO_- JUNHO -_2021</vt:lpstr>
      <vt:lpstr>EXECUTADO_- JULHO -_2021</vt:lpstr>
      <vt:lpstr>EXECUTADO_- AGOSTO -_2021</vt:lpstr>
      <vt:lpstr>EXECUTADO_- SETEMBRO -_2021</vt:lpstr>
      <vt:lpstr>EXECUTADO_- OUTUBRO -_2021</vt:lpstr>
      <vt:lpstr>EXECUTADO_- NOVEMBRO -_2021</vt:lpstr>
      <vt:lpstr>EXECUTADO_- DEZEMBRO -_2021</vt:lpstr>
      <vt:lpstr>EXECUTADO_- JANEIRO -_2022</vt:lpstr>
      <vt:lpstr>EXECUTADO_- FEVEREIRO -_2022</vt:lpstr>
      <vt:lpstr>EXECUTADO_- MARÇO -_2022</vt:lpstr>
      <vt:lpstr>EXECUTADO_- ABRIL -_2022</vt:lpstr>
      <vt:lpstr>EXECUTADO_- Maio -_2022</vt:lpstr>
      <vt:lpstr>EXECUTADO_- Junho -_2022</vt:lpstr>
      <vt:lpstr>EXECUTADO_- Julho -_2022</vt:lpstr>
      <vt:lpstr>EXECUTADO_- Agosto -_2022</vt:lpstr>
      <vt:lpstr>EXECUTADO_- Setembro -_2022</vt:lpstr>
      <vt:lpstr>EXECUTADO_- Outubro -_2022</vt:lpstr>
      <vt:lpstr>EXECUTADO_- Novembro -_2022</vt:lpstr>
      <vt:lpstr>EXECUTADO_- Dezembro -_2022</vt:lpstr>
      <vt:lpstr>EXECUTADO_- Janeiro -_2023</vt:lpstr>
      <vt:lpstr>EXECUTADO_- Março -_2023</vt:lpstr>
      <vt:lpstr>EXECUTADO_- Abril -_2023</vt:lpstr>
      <vt:lpstr>EXECUTADO_- Maio -_2023</vt:lpstr>
      <vt:lpstr>EXECUTADO_- Junho -_2023</vt:lpstr>
      <vt:lpstr>EXECUTADO_- Julho -_2023</vt:lpstr>
      <vt:lpstr>EXECUTADO_- Agosto -_2023</vt:lpstr>
      <vt:lpstr>EXECUTADO_- Setembro -_2023</vt:lpstr>
      <vt:lpstr>EXECUTADO_- Outubro -_2023</vt:lpstr>
      <vt:lpstr>EXECUTADO_- Novembro -_2023</vt:lpstr>
      <vt:lpstr>EXECUTADO_- Dezembro -_2023</vt:lpstr>
      <vt:lpstr>EXECUTADO_- Janeiro -_2024</vt:lpstr>
      <vt:lpstr>EXECUTADO_- Fevereir -_2024</vt:lpstr>
      <vt:lpstr>EXECUTADO_- Março -_2024</vt:lpstr>
      <vt:lpstr>EXECUTADO_- Abril -_2024</vt:lpstr>
      <vt:lpstr>EXECUTADO_- Maio -_2024</vt:lpstr>
      <vt:lpstr>EXECUTADO_- Junho -_2024</vt:lpstr>
      <vt:lpstr>EXECUTADO_- Julho -_2024</vt:lpstr>
      <vt:lpstr>EXECUTADO_- Agosto-_2024 </vt:lpstr>
      <vt:lpstr>EXECUTADO_- Setembro -_2024</vt:lpstr>
      <vt:lpstr>EXECUTADO_- Outubro -_2024</vt:lpstr>
      <vt:lpstr>EXECUTADO_- Novembro -_2024</vt:lpstr>
      <vt:lpstr>EXECUTADO_- Dezembro -_2024 </vt:lpstr>
      <vt:lpstr>EXECUTADO_- Janeiro - _2025</vt:lpstr>
      <vt:lpstr>EXECUTADO_- Fevereiro - _2025</vt:lpstr>
      <vt:lpstr>EXECUTADO_- Março - _2025 </vt:lpstr>
      <vt:lpstr>EXECUTADO_- Abril - _2025</vt:lpstr>
      <vt:lpstr>EXECUTADO_- Maio - 2025</vt:lpstr>
      <vt:lpstr>EXECUTADO_- Junho - 2025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Eduarda Cassimiro Ferreira de Lima</cp:lastModifiedBy>
  <cp:revision>9</cp:revision>
  <dcterms:created xsi:type="dcterms:W3CDTF">2017-08-07T12:58:20Z</dcterms:created>
  <dcterms:modified xsi:type="dcterms:W3CDTF">2025-07-15T12:34:30Z</dcterms:modified>
</cp:coreProperties>
</file>