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Tesouraria\Mapa de viagens\Abril 25\"/>
    </mc:Choice>
  </mc:AlternateContent>
  <xr:revisionPtr revIDLastSave="0" documentId="13_ncr:1_{048B4641-4CC9-4611-9DEB-AC8685226D0C}" xr6:coauthVersionLast="47" xr6:coauthVersionMax="47" xr10:uidLastSave="{00000000-0000-0000-0000-000000000000}"/>
  <bookViews>
    <workbookView xWindow="-120" yWindow="-120" windowWidth="29040" windowHeight="15840" tabRatio="743" firstSheet="84" activeTab="89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state="hidden" r:id="rId21"/>
    <sheet name="EXECUTADO_- JUNHO -_2019" sheetId="28" state="hidden" r:id="rId22"/>
    <sheet name="EXECUTADO_- AGOSTO -_2019" sheetId="31" state="hidden" r:id="rId23"/>
    <sheet name="EXECUTADO_- SETEMBRO -_2019" sheetId="32" state="hidden" r:id="rId24"/>
    <sheet name="EXECUTADO_- OUTUBRO -_2019" sheetId="34" state="hidden" r:id="rId25"/>
    <sheet name="EXECUTADO_- NOVEMBRO -_2019" sheetId="35" state="hidden" r:id="rId26"/>
    <sheet name="EXECUTADO_- DEZEMBRO -_2019" sheetId="36" state="hidden" r:id="rId27"/>
    <sheet name="EXECUTADO_- JANEIRO -_2020" sheetId="38" state="hidden" r:id="rId28"/>
    <sheet name="EXECUTADO_- FEVEREIRO -_2020" sheetId="39" state="hidden" r:id="rId29"/>
    <sheet name="EXECUTADO_- MARÇO -_2020" sheetId="42" state="hidden" r:id="rId30"/>
    <sheet name="EXECUTADO_- ABRIL -_2020" sheetId="41" state="hidden" r:id="rId31"/>
    <sheet name="EXECUTADO_- MAIO -_2020" sheetId="43" state="hidden" r:id="rId32"/>
    <sheet name="EXECUTADO_- JUNHO -_2020" sheetId="44" state="hidden" r:id="rId33"/>
    <sheet name="EXECUTADO_- JULHO -_2020" sheetId="45" state="hidden" r:id="rId34"/>
    <sheet name="EXECUTADO_- AGOSTO -_2020" sheetId="46" state="hidden" r:id="rId35"/>
    <sheet name="EXECUTADO_- SETEMBRO -_2020" sheetId="47" state="hidden" r:id="rId36"/>
    <sheet name="EXECUTADO_- OUTUBRO -_2020" sheetId="48" state="hidden" r:id="rId37"/>
    <sheet name="EXECUTADO_- NOVEMBRO -_2020" sheetId="49" state="hidden" r:id="rId38"/>
    <sheet name="EXECUTADO_- DEZEMBRO -_2020" sheetId="50" state="hidden" r:id="rId39"/>
    <sheet name="EXECUTADO_- JANEIRO -_2021" sheetId="51" state="hidden" r:id="rId40"/>
    <sheet name="EXECUTADO_- FEVEREIRO -_2021" sheetId="52" state="hidden" r:id="rId41"/>
    <sheet name="EXECUTADO_- MARÇO -_2021" sheetId="54" state="hidden" r:id="rId42"/>
    <sheet name="EXECUTADO_- ABRIL -_2021" sheetId="55" state="hidden" r:id="rId43"/>
    <sheet name="EXECUTADO_- MAIO -_2021" sheetId="56" state="hidden" r:id="rId44"/>
    <sheet name="EXECUTADO_- JUNHO -_2021" sheetId="57" state="hidden" r:id="rId45"/>
    <sheet name="EXECUTADO_- JULHO -_2021" sheetId="58" state="hidden" r:id="rId46"/>
    <sheet name="EXECUTADO_- AGOSTO -_2021" sheetId="59" state="hidden" r:id="rId47"/>
    <sheet name="EXECUTADO_- SETEMBRO -_2021" sheetId="60" state="hidden" r:id="rId48"/>
    <sheet name="EXECUTADO_- OUTUBRO -_2021" sheetId="61" state="hidden" r:id="rId49"/>
    <sheet name="EXECUTADO_- NOVEMBRO -_2021" sheetId="62" state="hidden" r:id="rId50"/>
    <sheet name="EXECUTADO_- DEZEMBRO -_2021" sheetId="63" state="hidden" r:id="rId51"/>
    <sheet name="EXECUTADO_- JANEIRO -_2022" sheetId="64" state="hidden" r:id="rId52"/>
    <sheet name="EXECUTADO_- FEVEREIRO -_2022" sheetId="65" state="hidden" r:id="rId53"/>
    <sheet name="EXECUTADO_- MARÇO -_2022" sheetId="66" state="hidden" r:id="rId54"/>
    <sheet name="EXECUTADO_- ABRIL -_2022" sheetId="67" state="hidden" r:id="rId55"/>
    <sheet name="EXECUTADO_- Maio -_2022" sheetId="69" state="hidden" r:id="rId56"/>
    <sheet name="EXECUTADO_- Junho -_2022" sheetId="70" state="hidden" r:id="rId57"/>
    <sheet name="EXECUTADO_- Julho -_2022" sheetId="71" state="hidden" r:id="rId58"/>
    <sheet name="EXECUTADO_- Agosto -_2022" sheetId="72" state="hidden" r:id="rId59"/>
    <sheet name="EXECUTADO_- Setembro -_2022" sheetId="73" state="hidden" r:id="rId60"/>
    <sheet name="EXECUTADO_- Outubro -_2022" sheetId="74" state="hidden" r:id="rId61"/>
    <sheet name="EXECUTADO_- Novembro -_2022" sheetId="75" state="hidden" r:id="rId62"/>
    <sheet name="EXECUTADO_- Dezembro -_2022" sheetId="76" state="hidden" r:id="rId63"/>
    <sheet name="EXECUTADO_- Janeiro -_2023" sheetId="77" state="hidden" r:id="rId64"/>
    <sheet name="EXECUTADO_- Março -_2023" sheetId="78" state="hidden" r:id="rId65"/>
    <sheet name="EXECUTADO_- Abril -_2023" sheetId="79" state="hidden" r:id="rId66"/>
    <sheet name="EXECUTADO_- Maio -_2023" sheetId="81" state="hidden" r:id="rId67"/>
    <sheet name="EXECUTADO_- Junho -_2023" sheetId="82" state="hidden" r:id="rId68"/>
    <sheet name="EXECUTADO_- Julho -_2023" sheetId="83" state="hidden" r:id="rId69"/>
    <sheet name="EXECUTADO_- Agosto -_2023" sheetId="84" state="hidden" r:id="rId70"/>
    <sheet name="EXECUTADO_- Setembro -_2023" sheetId="85" state="hidden" r:id="rId71"/>
    <sheet name="EXECUTADO_- Outubro -_2023" sheetId="86" state="hidden" r:id="rId72"/>
    <sheet name="EXECUTADO_- Novembro -_2023" sheetId="87" state="hidden" r:id="rId73"/>
    <sheet name="EXECUTADO_- Dezembro -_2023" sheetId="88" state="hidden" r:id="rId74"/>
    <sheet name="EXECUTADO_- Janeiro -_2024" sheetId="89" state="hidden" r:id="rId75"/>
    <sheet name="EXECUTADO_- Fevereir -_2024" sheetId="90" state="hidden" r:id="rId76"/>
    <sheet name="EXECUTADO_- Março -_2024" sheetId="91" state="hidden" r:id="rId77"/>
    <sheet name="EXECUTADO_- Abril -_2024" sheetId="92" state="hidden" r:id="rId78"/>
    <sheet name="EXECUTADO_- Maio -_2024" sheetId="93" state="hidden" r:id="rId79"/>
    <sheet name="EXECUTADO_- Junho -_2024" sheetId="94" state="hidden" r:id="rId80"/>
    <sheet name="EXECUTADO_- Julho -_2024" sheetId="95" state="hidden" r:id="rId81"/>
    <sheet name="EXECUTADO_- Agosto-_2024 " sheetId="99" state="hidden" r:id="rId82"/>
    <sheet name="EXECUTADO_- Setembro -_2024" sheetId="98" r:id="rId83"/>
    <sheet name="EXECUTADO_- Outubro -_2024" sheetId="100" state="hidden" r:id="rId84"/>
    <sheet name="EXECUTADO_- Novembro -_2024" sheetId="101" r:id="rId85"/>
    <sheet name="EXECUTADO_- Dezembro -_2024 " sheetId="102" state="hidden" r:id="rId86"/>
    <sheet name="EXECUTADO_- Janeiro - _2025" sheetId="103" r:id="rId87"/>
    <sheet name="EXECUTADO_- Fevereiro - _2025" sheetId="104" r:id="rId88"/>
    <sheet name="EXECUTADO_- Março - _2025 " sheetId="106" r:id="rId89"/>
    <sheet name="EXECUTADO_- Abril - _2025" sheetId="105" r:id="rId90"/>
    <sheet name="Plan2" sheetId="68" r:id="rId91"/>
    <sheet name="Plan3" sheetId="80" r:id="rId9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105" l="1"/>
  <c r="R14" i="105"/>
  <c r="R15" i="105"/>
  <c r="S15" i="105" s="1"/>
  <c r="R16" i="105"/>
  <c r="S16" i="105" s="1"/>
  <c r="R17" i="105"/>
  <c r="S17" i="105" s="1"/>
  <c r="R18" i="105"/>
  <c r="S18" i="105" s="1"/>
  <c r="R19" i="105"/>
  <c r="S19" i="105" s="1"/>
  <c r="M17" i="105"/>
  <c r="M18" i="105"/>
  <c r="L19" i="105"/>
  <c r="K19" i="105"/>
  <c r="M14" i="105"/>
  <c r="S14" i="105" s="1"/>
  <c r="M15" i="105"/>
  <c r="M16" i="105"/>
  <c r="M13" i="105"/>
  <c r="S13" i="105" s="1"/>
  <c r="M11" i="105"/>
  <c r="M10" i="105"/>
  <c r="M9" i="105"/>
  <c r="M8" i="105"/>
  <c r="L5" i="105"/>
  <c r="K5" i="105"/>
  <c r="R14" i="106"/>
  <c r="L14" i="106"/>
  <c r="K14" i="106"/>
  <c r="N13" i="106"/>
  <c r="R13" i="106" s="1"/>
  <c r="S13" i="106" s="1"/>
  <c r="T13" i="106" s="1"/>
  <c r="L13" i="106"/>
  <c r="K13" i="106"/>
  <c r="N12" i="106"/>
  <c r="R12" i="106" s="1"/>
  <c r="S12" i="106" s="1"/>
  <c r="T12" i="106" s="1"/>
  <c r="L12" i="106"/>
  <c r="K12" i="106"/>
  <c r="R11" i="106"/>
  <c r="S11" i="106" s="1"/>
  <c r="T11" i="106" s="1"/>
  <c r="N10" i="106"/>
  <c r="R10" i="106" s="1"/>
  <c r="S10" i="106" s="1"/>
  <c r="T10" i="106" s="1"/>
  <c r="L10" i="106"/>
  <c r="K10" i="106"/>
  <c r="N9" i="106"/>
  <c r="R9" i="106" s="1"/>
  <c r="S9" i="106" s="1"/>
  <c r="T9" i="106" s="1"/>
  <c r="L9" i="106"/>
  <c r="K9" i="106"/>
  <c r="N8" i="106"/>
  <c r="R8" i="106" s="1"/>
  <c r="S8" i="106" s="1"/>
  <c r="T8" i="106" s="1"/>
  <c r="L8" i="106"/>
  <c r="K8" i="106"/>
  <c r="N7" i="106"/>
  <c r="R7" i="106" s="1"/>
  <c r="S7" i="106" s="1"/>
  <c r="T7" i="106" s="1"/>
  <c r="L7" i="106"/>
  <c r="K7" i="106"/>
  <c r="N6" i="106"/>
  <c r="R6" i="106" s="1"/>
  <c r="S6" i="106" s="1"/>
  <c r="T6" i="106" s="1"/>
  <c r="L6" i="106"/>
  <c r="K6" i="106"/>
  <c r="R5" i="106"/>
  <c r="S5" i="106" s="1"/>
  <c r="M5" i="106"/>
  <c r="M15" i="106" s="1"/>
  <c r="R10" i="105"/>
  <c r="R13" i="105"/>
  <c r="K12" i="105"/>
  <c r="L12" i="105"/>
  <c r="L7" i="105"/>
  <c r="K7" i="105"/>
  <c r="L6" i="105"/>
  <c r="K6" i="105"/>
  <c r="N8" i="105"/>
  <c r="R8" i="105" s="1"/>
  <c r="R9" i="105"/>
  <c r="S9" i="105" s="1"/>
  <c r="T9" i="105" s="1"/>
  <c r="N11" i="105"/>
  <c r="R11" i="105" s="1"/>
  <c r="S11" i="105" s="1"/>
  <c r="T11" i="105" s="1"/>
  <c r="N12" i="105"/>
  <c r="R12" i="105" s="1"/>
  <c r="S12" i="105" s="1"/>
  <c r="T12" i="105" s="1"/>
  <c r="S10" i="105" l="1"/>
  <c r="M24" i="105"/>
  <c r="S8" i="105"/>
  <c r="T8" i="105" s="1"/>
  <c r="S14" i="106"/>
  <c r="T14" i="106" s="1"/>
  <c r="T5" i="106"/>
  <c r="R7" i="105"/>
  <c r="S7" i="105" s="1"/>
  <c r="T7" i="105" s="1"/>
  <c r="N6" i="105"/>
  <c r="R6" i="105" s="1"/>
  <c r="R5" i="105"/>
  <c r="R7" i="104"/>
  <c r="M6" i="104"/>
  <c r="K6" i="104"/>
  <c r="N6" i="104"/>
  <c r="R6" i="104" s="1"/>
  <c r="S6" i="104" s="1"/>
  <c r="T6" i="104" s="1"/>
  <c r="K7" i="104"/>
  <c r="M7" i="104" s="1"/>
  <c r="M5" i="104"/>
  <c r="L5" i="104" s="1"/>
  <c r="N5" i="104"/>
  <c r="R5" i="104" s="1"/>
  <c r="S5" i="103"/>
  <c r="N5" i="103"/>
  <c r="R5" i="103" s="1"/>
  <c r="T5" i="103" s="1"/>
  <c r="M5" i="103"/>
  <c r="M16" i="103"/>
  <c r="S15" i="102"/>
  <c r="T10" i="105" l="1"/>
  <c r="S6" i="105"/>
  <c r="T6" i="105" s="1"/>
  <c r="S5" i="105"/>
  <c r="S7" i="104"/>
  <c r="T7" i="104" s="1"/>
  <c r="K5" i="104"/>
  <c r="M15" i="104"/>
  <c r="S5" i="104"/>
  <c r="S16" i="103"/>
  <c r="R7" i="102"/>
  <c r="S7" i="102" s="1"/>
  <c r="T7" i="102" s="1"/>
  <c r="K7" i="102"/>
  <c r="L15" i="102"/>
  <c r="K15" i="102" s="1"/>
  <c r="L14" i="102"/>
  <c r="K14" i="102" s="1"/>
  <c r="K13" i="102"/>
  <c r="L13" i="102"/>
  <c r="K12" i="102"/>
  <c r="L12" i="102"/>
  <c r="L11" i="102"/>
  <c r="K11" i="102" s="1"/>
  <c r="L10" i="102"/>
  <c r="K10" i="102" s="1"/>
  <c r="T5" i="105" l="1"/>
  <c r="S15" i="104"/>
  <c r="T5" i="104"/>
  <c r="S5" i="101"/>
  <c r="R5" i="102"/>
  <c r="S5" i="102" s="1"/>
  <c r="T5" i="102" s="1"/>
  <c r="R6" i="102"/>
  <c r="S6" i="102" s="1"/>
  <c r="T6" i="102" s="1"/>
  <c r="R8" i="102"/>
  <c r="S8" i="102" s="1"/>
  <c r="T8" i="102" s="1"/>
  <c r="R9" i="102"/>
  <c r="S9" i="102" s="1"/>
  <c r="T9" i="102" s="1"/>
  <c r="R14" i="102"/>
  <c r="S14" i="102" s="1"/>
  <c r="T14" i="102" s="1"/>
  <c r="R15" i="102"/>
  <c r="T15" i="102" s="1"/>
  <c r="R5" i="101"/>
  <c r="N11" i="102"/>
  <c r="R11" i="102" s="1"/>
  <c r="S11" i="102" s="1"/>
  <c r="T11" i="102" s="1"/>
  <c r="N12" i="102"/>
  <c r="R12" i="102" s="1"/>
  <c r="S12" i="102" s="1"/>
  <c r="T12" i="102" s="1"/>
  <c r="N13" i="102"/>
  <c r="R13" i="102" s="1"/>
  <c r="S13" i="102" s="1"/>
  <c r="T13" i="102" s="1"/>
  <c r="N15" i="102"/>
  <c r="N10" i="102"/>
  <c r="R10" i="102" s="1"/>
  <c r="S10" i="102" s="1"/>
  <c r="T10" i="102" s="1"/>
  <c r="M25" i="102"/>
  <c r="M12" i="101"/>
  <c r="T14" i="105" l="1"/>
  <c r="T15" i="105"/>
  <c r="T13" i="105"/>
  <c r="L11" i="101"/>
  <c r="K11" i="101"/>
  <c r="S25" i="102" l="1"/>
  <c r="M5" i="101"/>
  <c r="L13" i="101"/>
  <c r="K12" i="101"/>
  <c r="K13" i="101"/>
  <c r="K14" i="101"/>
  <c r="T16" i="105" l="1"/>
  <c r="T17" i="105"/>
  <c r="M10" i="101"/>
  <c r="N9" i="101"/>
  <c r="R9" i="101" s="1"/>
  <c r="N8" i="101"/>
  <c r="R8" i="101" s="1"/>
  <c r="S8" i="101" s="1"/>
  <c r="T8" i="101" s="1"/>
  <c r="L7" i="101"/>
  <c r="K7" i="101"/>
  <c r="L8" i="101"/>
  <c r="K8" i="101"/>
  <c r="N6" i="101"/>
  <c r="R6" i="101" s="1"/>
  <c r="M6" i="101"/>
  <c r="N14" i="101"/>
  <c r="R14" i="101" s="1"/>
  <c r="L14" i="101"/>
  <c r="N13" i="101"/>
  <c r="R13" i="101" s="1"/>
  <c r="N12" i="101"/>
  <c r="R12" i="101" s="1"/>
  <c r="R11" i="101"/>
  <c r="R10" i="101"/>
  <c r="L9" i="101"/>
  <c r="R7" i="101"/>
  <c r="N5" i="101"/>
  <c r="S11" i="100"/>
  <c r="T11" i="100"/>
  <c r="R11" i="100"/>
  <c r="M11" i="100"/>
  <c r="L11" i="100" s="1"/>
  <c r="R17" i="100"/>
  <c r="S17" i="100" s="1"/>
  <c r="T17" i="100" s="1"/>
  <c r="R19" i="100"/>
  <c r="S19" i="100" s="1"/>
  <c r="T19" i="100" s="1"/>
  <c r="L17" i="100"/>
  <c r="L18" i="100"/>
  <c r="L19" i="100"/>
  <c r="L20" i="100"/>
  <c r="L21" i="100"/>
  <c r="L22" i="100"/>
  <c r="L23" i="100"/>
  <c r="K17" i="100"/>
  <c r="K18" i="100"/>
  <c r="K19" i="100"/>
  <c r="K20" i="100"/>
  <c r="K21" i="100"/>
  <c r="K22" i="100"/>
  <c r="K23" i="100"/>
  <c r="N18" i="100"/>
  <c r="R18" i="100" s="1"/>
  <c r="S18" i="100" s="1"/>
  <c r="T18" i="100" s="1"/>
  <c r="N20" i="100"/>
  <c r="R20" i="100" s="1"/>
  <c r="S20" i="100" s="1"/>
  <c r="T20" i="100" s="1"/>
  <c r="N21" i="100"/>
  <c r="R21" i="100" s="1"/>
  <c r="S21" i="100" s="1"/>
  <c r="T21" i="100" s="1"/>
  <c r="N22" i="100"/>
  <c r="R22" i="100" s="1"/>
  <c r="S22" i="100" s="1"/>
  <c r="T22" i="100" s="1"/>
  <c r="N23" i="100"/>
  <c r="R23" i="100" s="1"/>
  <c r="S23" i="100" s="1"/>
  <c r="T23" i="100" s="1"/>
  <c r="S14" i="101" l="1"/>
  <c r="T14" i="101" s="1"/>
  <c r="M25" i="101"/>
  <c r="S7" i="101"/>
  <c r="T7" i="101" s="1"/>
  <c r="T5" i="101"/>
  <c r="S13" i="101"/>
  <c r="T13" i="101" s="1"/>
  <c r="S9" i="101"/>
  <c r="T9" i="101" s="1"/>
  <c r="S11" i="101"/>
  <c r="T11" i="101" s="1"/>
  <c r="K9" i="101"/>
  <c r="S6" i="101"/>
  <c r="T6" i="101" s="1"/>
  <c r="S10" i="101"/>
  <c r="T10" i="101" s="1"/>
  <c r="S12" i="101"/>
  <c r="T12" i="101" s="1"/>
  <c r="L12" i="101"/>
  <c r="K11" i="100"/>
  <c r="N16" i="100"/>
  <c r="R16" i="100" s="1"/>
  <c r="M16" i="100"/>
  <c r="L16" i="100" s="1"/>
  <c r="N15" i="100"/>
  <c r="R15" i="100" s="1"/>
  <c r="M15" i="100"/>
  <c r="L15" i="100" s="1"/>
  <c r="M14" i="100"/>
  <c r="N14" i="100"/>
  <c r="R14" i="100" s="1"/>
  <c r="N13" i="100"/>
  <c r="R13" i="100" s="1"/>
  <c r="M13" i="100"/>
  <c r="K14" i="100" s="1"/>
  <c r="M12" i="100"/>
  <c r="M10" i="100"/>
  <c r="L9" i="100"/>
  <c r="L8" i="100"/>
  <c r="K8" i="100"/>
  <c r="L7" i="100"/>
  <c r="K7" i="100"/>
  <c r="M6" i="100"/>
  <c r="N5" i="100"/>
  <c r="M5" i="100"/>
  <c r="L5" i="100" s="1"/>
  <c r="T18" i="105" l="1"/>
  <c r="T19" i="105"/>
  <c r="S25" i="101"/>
  <c r="K15" i="100"/>
  <c r="M8" i="100"/>
  <c r="S15" i="100"/>
  <c r="T15" i="100" s="1"/>
  <c r="S14" i="100"/>
  <c r="T14" i="100" s="1"/>
  <c r="S13" i="100"/>
  <c r="T13" i="100" s="1"/>
  <c r="K13" i="100"/>
  <c r="L13" i="100"/>
  <c r="S16" i="100"/>
  <c r="T16" i="100" s="1"/>
  <c r="L14" i="100"/>
  <c r="K16" i="100"/>
  <c r="K9" i="100"/>
  <c r="M7" i="100"/>
  <c r="K5" i="100"/>
  <c r="R12" i="100" l="1"/>
  <c r="S12" i="100" s="1"/>
  <c r="T12" i="100" s="1"/>
  <c r="L12" i="100"/>
  <c r="K12" i="100"/>
  <c r="R10" i="100"/>
  <c r="S10" i="100" s="1"/>
  <c r="T10" i="100" s="1"/>
  <c r="L10" i="100"/>
  <c r="K10" i="100"/>
  <c r="R9" i="100"/>
  <c r="N7" i="100"/>
  <c r="R7" i="100" s="1"/>
  <c r="R6" i="100"/>
  <c r="S6" i="100" s="1"/>
  <c r="T6" i="100" s="1"/>
  <c r="L6" i="100"/>
  <c r="R5" i="100"/>
  <c r="S5" i="100" s="1"/>
  <c r="T5" i="100" s="1"/>
  <c r="R18" i="98"/>
  <c r="S18" i="98"/>
  <c r="T18" i="98" s="1"/>
  <c r="T28" i="98" s="1"/>
  <c r="R19" i="98"/>
  <c r="S19" i="98" s="1"/>
  <c r="T19" i="98" s="1"/>
  <c r="R8" i="100" l="1"/>
  <c r="S8" i="100" s="1"/>
  <c r="S9" i="100"/>
  <c r="T9" i="100" s="1"/>
  <c r="K6" i="100"/>
  <c r="M26" i="100"/>
  <c r="S7" i="100"/>
  <c r="T7" i="100" s="1"/>
  <c r="R28" i="98"/>
  <c r="R25" i="98"/>
  <c r="S25" i="98" s="1"/>
  <c r="T25" i="98" s="1"/>
  <c r="R26" i="98"/>
  <c r="S26" i="98" s="1"/>
  <c r="T26" i="98" s="1"/>
  <c r="M28" i="98"/>
  <c r="M16" i="98"/>
  <c r="L16" i="98"/>
  <c r="K16" i="98"/>
  <c r="L24" i="98"/>
  <c r="K24" i="98"/>
  <c r="M24" i="98"/>
  <c r="L25" i="98"/>
  <c r="K25" i="98"/>
  <c r="M25" i="98"/>
  <c r="L26" i="98"/>
  <c r="K26" i="98"/>
  <c r="M14" i="98"/>
  <c r="L14" i="98"/>
  <c r="K14" i="98"/>
  <c r="K7" i="98"/>
  <c r="M11" i="98"/>
  <c r="M15" i="98"/>
  <c r="L15" i="98"/>
  <c r="K15" i="98"/>
  <c r="T8" i="100" l="1"/>
  <c r="S26" i="100"/>
  <c r="N25" i="98"/>
  <c r="N26" i="98"/>
  <c r="M26" i="98"/>
  <c r="L22" i="98" l="1"/>
  <c r="K22" i="98"/>
  <c r="N24" i="98"/>
  <c r="N17" i="98"/>
  <c r="N12" i="98"/>
  <c r="M19" i="98"/>
  <c r="M18" i="98"/>
  <c r="S51" i="99"/>
  <c r="T49" i="99"/>
  <c r="S49" i="99"/>
  <c r="R49" i="99"/>
  <c r="L54" i="99"/>
  <c r="M54" i="99" s="1"/>
  <c r="L53" i="99"/>
  <c r="M53" i="99" s="1"/>
  <c r="L52" i="99"/>
  <c r="M52" i="99" s="1"/>
  <c r="N51" i="99"/>
  <c r="R51" i="99" s="1"/>
  <c r="K51" i="99"/>
  <c r="M51" i="99" s="1"/>
  <c r="N50" i="99"/>
  <c r="R50" i="99" s="1"/>
  <c r="M50" i="99"/>
  <c r="K50" i="99" s="1"/>
  <c r="N49" i="99"/>
  <c r="L49" i="99"/>
  <c r="K49" i="99"/>
  <c r="N48" i="99"/>
  <c r="R48" i="99" s="1"/>
  <c r="L48" i="99"/>
  <c r="K48" i="99"/>
  <c r="N47" i="99"/>
  <c r="R47" i="99" s="1"/>
  <c r="S47" i="99" s="1"/>
  <c r="T47" i="99" s="1"/>
  <c r="L47" i="99"/>
  <c r="K47" i="99"/>
  <c r="N46" i="99"/>
  <c r="R46" i="99" s="1"/>
  <c r="S46" i="99" s="1"/>
  <c r="T46" i="99" s="1"/>
  <c r="L46" i="99"/>
  <c r="K46" i="99"/>
  <c r="R45" i="99"/>
  <c r="L45" i="99"/>
  <c r="K45" i="99"/>
  <c r="R44" i="99"/>
  <c r="S44" i="99" s="1"/>
  <c r="T44" i="99" s="1"/>
  <c r="L44" i="99"/>
  <c r="K44" i="99"/>
  <c r="R43" i="99"/>
  <c r="S43" i="99" s="1"/>
  <c r="T43" i="99" s="1"/>
  <c r="L43" i="99"/>
  <c r="K43" i="99"/>
  <c r="R42" i="99"/>
  <c r="M42" i="99"/>
  <c r="K42" i="99" s="1"/>
  <c r="L42" i="99"/>
  <c r="N41" i="99"/>
  <c r="R41" i="99" s="1"/>
  <c r="L41" i="99"/>
  <c r="M41" i="99" s="1"/>
  <c r="K41" i="99"/>
  <c r="N40" i="99"/>
  <c r="R40" i="99" s="1"/>
  <c r="S40" i="99" s="1"/>
  <c r="T40" i="99" s="1"/>
  <c r="L40" i="99"/>
  <c r="K40" i="99"/>
  <c r="N39" i="99"/>
  <c r="R39" i="99" s="1"/>
  <c r="S39" i="99" s="1"/>
  <c r="T39" i="99" s="1"/>
  <c r="L39" i="99"/>
  <c r="K39" i="99"/>
  <c r="R17" i="99"/>
  <c r="S17" i="99" s="1"/>
  <c r="T17" i="99" s="1"/>
  <c r="R18" i="99"/>
  <c r="S18" i="99" s="1"/>
  <c r="T18" i="99" s="1"/>
  <c r="R19" i="99"/>
  <c r="S19" i="99" s="1"/>
  <c r="T19" i="99" s="1"/>
  <c r="R22" i="99"/>
  <c r="R23" i="99"/>
  <c r="R24" i="99"/>
  <c r="R25" i="99"/>
  <c r="R27" i="99"/>
  <c r="S27" i="99" s="1"/>
  <c r="T27" i="99" s="1"/>
  <c r="R28" i="99"/>
  <c r="R31" i="99"/>
  <c r="R32" i="99"/>
  <c r="S32" i="99" s="1"/>
  <c r="R33" i="99"/>
  <c r="R34" i="99"/>
  <c r="S34" i="99" s="1"/>
  <c r="T34" i="99" s="1"/>
  <c r="R35" i="99"/>
  <c r="S35" i="99" s="1"/>
  <c r="T35" i="99" s="1"/>
  <c r="R36" i="99"/>
  <c r="S36" i="99" s="1"/>
  <c r="T36" i="99" s="1"/>
  <c r="R37" i="99"/>
  <c r="R38" i="99"/>
  <c r="R16" i="99"/>
  <c r="S28" i="99"/>
  <c r="T28" i="99" s="1"/>
  <c r="L16" i="99"/>
  <c r="M16" i="99"/>
  <c r="K16" i="99" s="1"/>
  <c r="L24" i="99"/>
  <c r="L36" i="99"/>
  <c r="L35" i="99"/>
  <c r="L34" i="99"/>
  <c r="M33" i="99"/>
  <c r="L27" i="99"/>
  <c r="K27" i="99"/>
  <c r="M25" i="99"/>
  <c r="S25" i="99" s="1"/>
  <c r="T25" i="99" s="1"/>
  <c r="M9" i="99"/>
  <c r="L9" i="99" s="1"/>
  <c r="M8" i="99"/>
  <c r="L8" i="99" s="1"/>
  <c r="M23" i="99"/>
  <c r="K23" i="99" s="1"/>
  <c r="M22" i="99"/>
  <c r="K22" i="99" s="1"/>
  <c r="K38" i="99"/>
  <c r="M38" i="99" s="1"/>
  <c r="L37" i="99"/>
  <c r="K37" i="99"/>
  <c r="K32" i="99"/>
  <c r="M32" i="99" s="1"/>
  <c r="K31" i="99"/>
  <c r="M31" i="99" s="1"/>
  <c r="N30" i="99"/>
  <c r="R30" i="99" s="1"/>
  <c r="L30" i="99"/>
  <c r="K30" i="99"/>
  <c r="N29" i="99"/>
  <c r="R29" i="99" s="1"/>
  <c r="L29" i="99"/>
  <c r="K29" i="99"/>
  <c r="L28" i="99"/>
  <c r="K28" i="99"/>
  <c r="N26" i="99"/>
  <c r="R26" i="99" s="1"/>
  <c r="L26" i="99"/>
  <c r="K26" i="99"/>
  <c r="N21" i="99"/>
  <c r="R21" i="99" s="1"/>
  <c r="L21" i="99"/>
  <c r="K21" i="99"/>
  <c r="N20" i="99"/>
  <c r="R20" i="99" s="1"/>
  <c r="L20" i="99"/>
  <c r="K20" i="99"/>
  <c r="L19" i="99"/>
  <c r="K19" i="99"/>
  <c r="L18" i="99"/>
  <c r="K18" i="99"/>
  <c r="L17" i="99"/>
  <c r="K17" i="99"/>
  <c r="R15" i="99"/>
  <c r="S15" i="99" s="1"/>
  <c r="T15" i="99" s="1"/>
  <c r="L15" i="99"/>
  <c r="K15" i="99"/>
  <c r="R14" i="99"/>
  <c r="S14" i="99" s="1"/>
  <c r="T14" i="99" s="1"/>
  <c r="L14" i="99"/>
  <c r="K14" i="99"/>
  <c r="R13" i="99"/>
  <c r="M13" i="99"/>
  <c r="K13" i="99" s="1"/>
  <c r="L13" i="99"/>
  <c r="N12" i="99"/>
  <c r="R12" i="99" s="1"/>
  <c r="L12" i="99"/>
  <c r="K12" i="99"/>
  <c r="R11" i="99"/>
  <c r="K11" i="99"/>
  <c r="M11" i="99" s="1"/>
  <c r="R10" i="99"/>
  <c r="K10" i="99"/>
  <c r="M10" i="99" s="1"/>
  <c r="R9" i="99"/>
  <c r="R8" i="99"/>
  <c r="R7" i="99"/>
  <c r="S7" i="99" s="1"/>
  <c r="T7" i="99" s="1"/>
  <c r="L7" i="99"/>
  <c r="K7" i="99"/>
  <c r="N6" i="99"/>
  <c r="R6" i="99" s="1"/>
  <c r="S6" i="99" s="1"/>
  <c r="T6" i="99" s="1"/>
  <c r="L6" i="99"/>
  <c r="K6" i="99"/>
  <c r="N5" i="99"/>
  <c r="R5" i="99" s="1"/>
  <c r="S5" i="99" s="1"/>
  <c r="T5" i="99" s="1"/>
  <c r="L5" i="99"/>
  <c r="K5" i="99"/>
  <c r="M48" i="99" l="1"/>
  <c r="L50" i="99"/>
  <c r="M45" i="99"/>
  <c r="S45" i="99" s="1"/>
  <c r="T45" i="99" s="1"/>
  <c r="M49" i="99"/>
  <c r="S38" i="99"/>
  <c r="T38" i="99" s="1"/>
  <c r="T51" i="99"/>
  <c r="S31" i="99"/>
  <c r="S33" i="99"/>
  <c r="S42" i="99"/>
  <c r="T42" i="99" s="1"/>
  <c r="M30" i="99"/>
  <c r="S30" i="99" s="1"/>
  <c r="S41" i="99"/>
  <c r="T41" i="99" s="1"/>
  <c r="S50" i="99"/>
  <c r="T50" i="99" s="1"/>
  <c r="S48" i="99"/>
  <c r="T48" i="99" s="1"/>
  <c r="M37" i="99"/>
  <c r="S37" i="99" s="1"/>
  <c r="T37" i="99" s="1"/>
  <c r="S20" i="99"/>
  <c r="T20" i="99" s="1"/>
  <c r="S16" i="99"/>
  <c r="T16" i="99" s="1"/>
  <c r="S21" i="99"/>
  <c r="T21" i="99" s="1"/>
  <c r="S23" i="99"/>
  <c r="T23" i="99" s="1"/>
  <c r="M12" i="99"/>
  <c r="S12" i="99" s="1"/>
  <c r="T12" i="99" s="1"/>
  <c r="M26" i="99"/>
  <c r="S26" i="99" s="1"/>
  <c r="T26" i="99" s="1"/>
  <c r="M29" i="99"/>
  <c r="S29" i="99" s="1"/>
  <c r="T33" i="99"/>
  <c r="K8" i="99"/>
  <c r="S8" i="99"/>
  <c r="T8" i="99" s="1"/>
  <c r="S9" i="99"/>
  <c r="T9" i="99" s="1"/>
  <c r="S10" i="99"/>
  <c r="T10" i="99" s="1"/>
  <c r="S11" i="99"/>
  <c r="T11" i="99" s="1"/>
  <c r="T30" i="99"/>
  <c r="K9" i="99"/>
  <c r="S24" i="99"/>
  <c r="T24" i="99" s="1"/>
  <c r="S13" i="99"/>
  <c r="T13" i="99" s="1"/>
  <c r="M8" i="98" l="1"/>
  <c r="N23" i="98"/>
  <c r="N20" i="98" l="1"/>
  <c r="R20" i="98" s="1"/>
  <c r="S20" i="98" s="1"/>
  <c r="T20" i="98" s="1"/>
  <c r="K20" i="98"/>
  <c r="L20" i="98"/>
  <c r="K17" i="98"/>
  <c r="N16" i="98"/>
  <c r="R16" i="98" s="1"/>
  <c r="S16" i="98" s="1"/>
  <c r="T16" i="98" s="1"/>
  <c r="K13" i="98"/>
  <c r="L13" i="98"/>
  <c r="N13" i="98"/>
  <c r="R13" i="98" s="1"/>
  <c r="S13" i="98" s="1"/>
  <c r="T13" i="98" s="1"/>
  <c r="L11" i="98"/>
  <c r="K11" i="98"/>
  <c r="M7" i="98"/>
  <c r="K6" i="98"/>
  <c r="L6" i="98"/>
  <c r="R24" i="98"/>
  <c r="R23" i="98"/>
  <c r="S23" i="98" s="1"/>
  <c r="T23" i="98" s="1"/>
  <c r="L23" i="98"/>
  <c r="K23" i="98"/>
  <c r="N22" i="98"/>
  <c r="R22" i="98" s="1"/>
  <c r="N21" i="98"/>
  <c r="R21" i="98" s="1"/>
  <c r="S21" i="98" s="1"/>
  <c r="T21" i="98" s="1"/>
  <c r="L21" i="98"/>
  <c r="K21" i="98"/>
  <c r="R17" i="98"/>
  <c r="S17" i="98" s="1"/>
  <c r="T17" i="98" s="1"/>
  <c r="L17" i="98"/>
  <c r="N15" i="98"/>
  <c r="R15" i="98" s="1"/>
  <c r="S15" i="98" s="1"/>
  <c r="T15" i="98" s="1"/>
  <c r="R14" i="98"/>
  <c r="S14" i="98" s="1"/>
  <c r="T14" i="98" s="1"/>
  <c r="R12" i="98"/>
  <c r="S12" i="98" s="1"/>
  <c r="T12" i="98" s="1"/>
  <c r="L12" i="98"/>
  <c r="K12" i="98"/>
  <c r="R11" i="98"/>
  <c r="R10" i="98"/>
  <c r="S10" i="98" s="1"/>
  <c r="T10" i="98" s="1"/>
  <c r="R9" i="98"/>
  <c r="S9" i="98" s="1"/>
  <c r="T9" i="98" s="1"/>
  <c r="L9" i="98"/>
  <c r="K9" i="98"/>
  <c r="R8" i="98"/>
  <c r="R6" i="98"/>
  <c r="S6" i="98" s="1"/>
  <c r="T6" i="98" s="1"/>
  <c r="R5" i="98"/>
  <c r="S5" i="98" s="1"/>
  <c r="T5" i="98" s="1"/>
  <c r="L5" i="98"/>
  <c r="K5" i="98"/>
  <c r="P10" i="95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S22" i="98" l="1"/>
  <c r="T22" i="98" s="1"/>
  <c r="S24" i="98"/>
  <c r="T24" i="98" s="1"/>
  <c r="S8" i="98"/>
  <c r="T8" i="98" s="1"/>
  <c r="S11" i="98"/>
  <c r="T11" i="98" s="1"/>
  <c r="P5" i="95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<sst xmlns="http://schemas.openxmlformats.org/spreadsheetml/2006/main" count="11288" uniqueCount="1065">
  <si>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</si>
  <si>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</si>
  <si>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</si>
  <si>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</si>
  <si>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</si>
  <si>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</si>
  <si>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</si>
  <si>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</si>
  <si>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</si>
  <si>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</si>
  <si>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</si>
  <si>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</si>
  <si>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</si>
  <si>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</si>
  <si>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</si>
  <si>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</si>
  <si>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</si>
  <si>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</si>
  <si>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</si>
  <si>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</si>
  <si>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</si>
  <si>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</si>
  <si>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</si>
  <si>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</si>
  <si>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</si>
  <si>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</si>
  <si>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</si>
  <si>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</si>
  <si>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</si>
  <si>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</si>
  <si>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</si>
  <si>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</si>
  <si>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</si>
  <si>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</si>
  <si>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</si>
  <si>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</si>
  <si>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</si>
  <si>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</si>
  <si>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</si>
  <si>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</si>
  <si>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</si>
  <si>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</si>
  <si>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</si>
  <si>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</si>
  <si>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</si>
  <si>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</si>
  <si>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</si>
  <si>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</si>
  <si>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</si>
  <si>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</si>
  <si>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</si>
  <si>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</si>
  <si>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</si>
  <si>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</si>
  <si>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</si>
  <si>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</si>
  <si>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</si>
  <si>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</si>
  <si>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</si>
  <si>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</si>
  <si>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</si>
  <si>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</si>
  <si>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</si>
  <si>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</si>
  <si>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</si>
  <si>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</si>
  <si>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</si>
  <si>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</si>
  <si>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</si>
  <si>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</si>
  <si>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</si>
  <si>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</si>
  <si>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</si>
  <si>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</si>
  <si>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</si>
  <si>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</si>
  <si>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</si>
  <si>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</si>
  <si>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</si>
  <si>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</si>
  <si>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</si>
  <si>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</si>
  <si>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</si>
  <si>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</si>
  <si>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</si>
  <si>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</si>
  <si>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</si>
  <si>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</si>
  <si>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</si>
  <si>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</si>
  <si>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</si>
  <si>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</si>
  <si>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</si>
  <si>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</si>
  <si>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</si>
  <si>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</si>
  <si>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</si>
  <si>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</si>
  <si>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</si>
  <si>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</si>
  <si>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</si>
  <si>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</si>
  <si>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</si>
  <si>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</si>
  <si>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</si>
  <si>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</si>
  <si>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</si>
  <si>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</si>
  <si>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</si>
  <si>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</si>
  <si>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</si>
  <si>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</si>
  <si>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</si>
  <si>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</si>
  <si>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</si>
  <si>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</si>
  <si>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</si>
  <si>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</si>
  <si>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</si>
  <si>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</si>
  <si>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</si>
  <si>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</si>
  <si>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</si>
  <si>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</si>
  <si>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</si>
  <si>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</si>
  <si>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</si>
  <si>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</si>
  <si>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</si>
  <si>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</si>
  <si>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</si>
  <si>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</si>
  <si>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</si>
  <si>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</si>
  <si>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</si>
  <si>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</si>
  <si>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</si>
  <si>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</si>
  <si>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</si>
  <si>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</si>
  <si>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</si>
  <si>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</si>
  <si>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</si>
  <si>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</si>
  <si>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</si>
  <si>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</si>
  <si>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</si>
  <si>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</si>
  <si>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</si>
  <si>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</si>
  <si>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</si>
  <si>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</si>
  <si>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</si>
  <si>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</si>
  <si>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</si>
  <si>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</si>
  <si>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</si>
  <si>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</si>
  <si>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</si>
  <si>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</si>
  <si>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</si>
  <si>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</si>
  <si>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</si>
  <si>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</si>
  <si>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</si>
  <si>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</si>
  <si>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</si>
  <si>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</si>
  <si>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</si>
  <si>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</si>
  <si>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</si>
  <si>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</si>
  <si>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</si>
  <si>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</si>
  <si>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</si>
  <si>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</si>
  <si>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</si>
  <si>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</si>
  <si>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</si>
  <si>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</si>
  <si>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</si>
  <si>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</si>
  <si>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</si>
  <si>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</si>
  <si>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</si>
  <si>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</si>
  <si>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</si>
  <si>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</si>
  <si>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</si>
  <si>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</si>
  <si>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</si>
  <si>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</si>
  <si>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</si>
  <si>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</si>
  <si>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</si>
  <si>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</si>
  <si>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</si>
  <si>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</si>
  <si>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</si>
  <si>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</si>
  <si>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</si>
  <si>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</si>
  <si>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</si>
  <si>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</si>
  <si>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</si>
  <si>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</si>
  <si>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</si>
  <si>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</si>
  <si>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</si>
  <si>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</si>
  <si>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</si>
  <si>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</si>
  <si>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</si>
  <si>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</si>
  <si>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</si>
  <si>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</si>
  <si>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</si>
  <si>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</si>
  <si>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</si>
  <si>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</si>
  <si>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</si>
  <si>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</si>
  <si>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</si>
  <si>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</si>
  <si>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</si>
  <si>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</si>
  <si>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</si>
  <si>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</si>
  <si>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</si>
  <si>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</si>
  <si>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</si>
  <si>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</si>
  <si>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</si>
  <si>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</si>
  <si>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</si>
  <si>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</si>
  <si>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</si>
  <si>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</si>
  <si>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</si>
  <si>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</si>
  <si>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</si>
  <si>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</si>
  <si>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</si>
  <si>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</si>
  <si>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</si>
  <si>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</si>
  <si>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</si>
  <si>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</si>
  <si>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</si>
  <si>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</si>
  <si>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</si>
  <si>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</si>
  <si>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</si>
  <si>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</si>
  <si>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</si>
  <si>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</si>
  <si>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</si>
  <si>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</si>
  <si>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</si>
  <si>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</si>
  <si>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</si>
  <si>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</si>
  <si>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</si>
  <si>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</si>
  <si>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</si>
  <si>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</si>
  <si>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</si>
  <si>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</si>
  <si>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</si>
  <si>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</si>
  <si>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</si>
  <si>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</si>
  <si>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</si>
  <si>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</si>
  <si>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</si>
  <si>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</si>
  <si>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</si>
  <si>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</si>
  <si>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</si>
  <si>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</si>
  <si>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</si>
  <si>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</si>
  <si>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</si>
  <si>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</si>
  <si>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</si>
  <si>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</si>
  <si>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</si>
  <si>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</si>
  <si>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</si>
  <si>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</si>
  <si>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</si>
  <si>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</si>
  <si>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</si>
  <si>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</si>
  <si>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</si>
  <si>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</si>
  <si>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</si>
  <si>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</si>
  <si>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</si>
  <si>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</si>
  <si>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</si>
  <si>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</si>
  <si>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</si>
  <si>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</si>
  <si>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</si>
  <si>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</si>
  <si>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</si>
  <si>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</si>
  <si>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</si>
  <si>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</si>
  <si>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</si>
  <si>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</si>
  <si>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</si>
  <si>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</si>
  <si>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</si>
  <si>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</si>
  <si>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</si>
  <si>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</si>
  <si>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</si>
  <si>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</si>
  <si>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</si>
  <si>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</si>
  <si>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</si>
  <si>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</si>
  <si>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</si>
  <si>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</si>
  <si>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</si>
  <si>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</si>
  <si>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</si>
  <si>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</si>
  <si>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</si>
  <si>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</si>
  <si>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</si>
  <si>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</si>
  <si>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</si>
  <si>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</si>
  <si>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</si>
  <si>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</si>
  <si>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</si>
  <si>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</si>
  <si>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</si>
  <si>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</si>
  <si>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</si>
  <si>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</si>
  <si>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</si>
  <si>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</si>
  <si>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</si>
  <si>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</si>
  <si>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</si>
  <si>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</si>
  <si>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</si>
  <si>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</si>
  <si>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</si>
  <si>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</si>
  <si>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</si>
  <si>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</si>
  <si>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</si>
  <si>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</si>
  <si>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</si>
  <si>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</si>
  <si>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</si>
  <si>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</si>
  <si>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</si>
  <si>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</si>
  <si>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</si>
  <si>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</si>
  <si>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</si>
  <si>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</si>
  <si>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</si>
  <si>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</si>
  <si>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</si>
  <si>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</si>
  <si>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</si>
  <si>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</si>
  <si>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</si>
  <si>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</si>
  <si>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</si>
  <si>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</si>
  <si>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</si>
  <si>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</si>
  <si>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</si>
  <si>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</si>
  <si>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</si>
  <si>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</si>
  <si>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</si>
  <si>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</si>
  <si>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</si>
  <si>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</si>
  <si>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</si>
  <si>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</si>
  <si>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</si>
  <si>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</si>
  <si>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</si>
  <si>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</si>
  <si>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</si>
  <si>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</si>
  <si>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</si>
  <si>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</si>
  <si>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</si>
  <si>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</si>
  <si>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</si>
  <si>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</si>
  <si>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</si>
  <si>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</si>
  <si>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</si>
  <si>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</si>
  <si>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</si>
  <si>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</si>
  <si>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</si>
  <si>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</si>
  <si>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</si>
  <si>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</si>
  <si>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</si>
  <si>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</si>
  <si>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</si>
  <si>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</si>
  <si>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</si>
  <si>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</si>
  <si>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</si>
  <si>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</si>
  <si>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</si>
  <si>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</si>
  <si>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</si>
  <si>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</si>
  <si>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</si>
  <si>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</si>
  <si>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</si>
  <si>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</si>
  <si>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</si>
  <si>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</si>
  <si>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</si>
  <si>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</si>
  <si>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</si>
  <si>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</si>
  <si>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</si>
  <si>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</si>
  <si>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</si>
  <si>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</si>
  <si>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</si>
  <si>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</si>
  <si>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</si>
  <si>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</si>
  <si>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</si>
  <si>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</si>
  <si>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</si>
  <si>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</si>
  <si>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</si>
  <si>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</si>
  <si>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</si>
  <si>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</si>
  <si>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</si>
  <si>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</si>
  <si>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</si>
  <si>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</si>
  <si>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</si>
  <si>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</si>
  <si>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</si>
  <si>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</si>
  <si>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</si>
  <si>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</si>
  <si>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</si>
  <si>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</si>
  <si>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</si>
  <si>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</si>
  <si>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</si>
  <si>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</si>
  <si>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</si>
  <si>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</si>
  <si>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</si>
  <si>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</si>
  <si>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</si>
  <si>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</si>
  <si>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</si>
  <si>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</si>
  <si>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</si>
  <si>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</si>
  <si>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</si>
  <si>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</si>
  <si>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</si>
  <si>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</si>
  <si>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</si>
  <si>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</si>
  <si>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</si>
  <si>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</si>
  <si>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</si>
  <si>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</si>
  <si>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</si>
  <si>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</si>
  <si>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</si>
  <si>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</si>
  <si>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</si>
  <si>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</si>
  <si>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</si>
  <si>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</si>
  <si>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</si>
  <si>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</si>
  <si>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</si>
  <si>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</si>
  <si>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</si>
  <si>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</si>
  <si>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</si>
  <si>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</si>
  <si>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</si>
  <si>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</si>
  <si>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</si>
  <si>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</si>
  <si>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</si>
  <si>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</si>
  <si>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</si>
  <si>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</si>
  <si>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</si>
  <si>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</si>
  <si>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</si>
  <si>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</si>
  <si>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</si>
  <si>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</si>
  <si>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</si>
  <si>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</si>
  <si>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</si>
  <si>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</si>
  <si>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</si>
  <si>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</si>
  <si>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</si>
  <si>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</si>
  <si>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</si>
  <si>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</si>
  <si>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</si>
  <si>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</si>
  <si>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</si>
  <si>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</si>
  <si>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</si>
  <si>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</si>
  <si>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</si>
  <si>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</si>
  <si>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</si>
  <si>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</si>
  <si>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</si>
  <si>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</si>
  <si>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</si>
  <si>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</si>
  <si>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</si>
  <si>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</si>
  <si>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</si>
  <si>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</si>
  <si>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</si>
  <si>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</si>
  <si>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</si>
  <si>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</si>
  <si>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</si>
  <si>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</si>
  <si>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</si>
  <si>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</si>
  <si>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</si>
  <si>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</si>
  <si>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</si>
  <si>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</si>
  <si>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</si>
  <si>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</si>
  <si>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</si>
  <si>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</si>
  <si>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</si>
  <si>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</si>
  <si>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</si>
  <si>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</si>
  <si>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</si>
  <si>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</si>
  <si>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</si>
  <si>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</si>
  <si>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</si>
  <si>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</si>
  <si>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</si>
  <si>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</si>
  <si>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</si>
  <si>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</si>
  <si>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</si>
  <si>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</si>
  <si>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</si>
  <si>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</si>
  <si>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</si>
  <si>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</si>
  <si>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</si>
  <si>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</si>
  <si>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</si>
  <si>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</si>
  <si>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</si>
  <si>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</si>
  <si>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</si>
  <si>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</si>
  <si>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</si>
  <si>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</si>
  <si>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</si>
  <si>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</si>
  <si>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</si>
  <si>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</si>
  <si>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</si>
  <si>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</si>
  <si>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</si>
  <si>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</si>
  <si>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</si>
  <si>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</si>
  <si>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</si>
  <si>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</si>
  <si>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</si>
  <si>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</si>
  <si>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</si>
  <si>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</si>
  <si>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</si>
  <si>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</si>
  <si>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</si>
  <si>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</si>
  <si>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</si>
  <si>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</si>
  <si>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</si>
  <si>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</si>
  <si>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</si>
  <si>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</si>
  <si>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</si>
  <si>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</si>
  <si>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</si>
  <si>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</si>
  <si>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</si>
  <si>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</si>
  <si>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</si>
  <si>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</si>
  <si>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</si>
  <si>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</si>
  <si>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</si>
  <si>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</si>
  <si>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</si>
  <si>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</si>
  <si>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</si>
  <si>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</si>
  <si>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</si>
  <si>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</si>
  <si>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</si>
  <si>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</si>
  <si>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</si>
  <si>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</si>
  <si>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</si>
  <si>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</si>
  <si>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</si>
  <si>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</si>
  <si>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</si>
  <si>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</si>
  <si>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</si>
  <si>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</si>
  <si>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</si>
  <si>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</si>
  <si>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</si>
  <si>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</si>
  <si>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</si>
  <si>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</si>
  <si>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</si>
  <si>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</si>
  <si>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</si>
  <si>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</si>
  <si>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</si>
  <si>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</si>
  <si>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</si>
  <si>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</si>
  <si>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</si>
  <si>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</si>
  <si>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</si>
  <si>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</si>
  <si>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</si>
  <si>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</si>
  <si>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</si>
  <si>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</si>
  <si>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</si>
  <si>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</si>
  <si>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</si>
  <si>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</si>
  <si>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</si>
  <si>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</si>
  <si>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</si>
  <si>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</si>
  <si>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</si>
  <si>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</si>
  <si>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</si>
  <si>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</si>
  <si>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</si>
  <si>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</si>
  <si>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</si>
  <si>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</si>
  <si>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</si>
  <si>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</si>
  <si>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</si>
  <si>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</si>
  <si>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</si>
  <si>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</si>
  <si>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</si>
  <si>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</si>
  <si>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</si>
  <si>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</si>
  <si>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</si>
  <si>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</si>
  <si>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</si>
  <si>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</si>
  <si>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</si>
  <si>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</si>
  <si>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</si>
  <si>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</si>
  <si>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</si>
  <si>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</si>
  <si>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</si>
  <si>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</si>
  <si>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</si>
  <si>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</si>
  <si>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</si>
  <si>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</si>
  <si>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</si>
  <si>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</si>
  <si>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</si>
  <si>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</si>
  <si>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</si>
  <si>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</si>
  <si>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</si>
  <si>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</si>
  <si>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</si>
  <si>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</si>
  <si>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</si>
  <si>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</si>
  <si>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</si>
  <si>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</si>
  <si>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</si>
  <si>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</si>
  <si>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</si>
  <si>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</si>
  <si>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</si>
  <si>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</si>
  <si>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</si>
  <si>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</si>
  <si>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</si>
  <si>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</si>
  <si>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</si>
  <si>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</si>
  <si>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</si>
  <si>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</si>
  <si>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</si>
  <si>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</si>
  <si>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</si>
  <si>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</si>
  <si>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</si>
  <si>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</si>
  <si>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</si>
  <si>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</si>
  <si>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</si>
  <si>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</si>
  <si>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</si>
  <si>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</si>
  <si>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</si>
  <si>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</si>
  <si>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</si>
  <si>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</si>
  <si>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</si>
  <si>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</si>
  <si>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</si>
  <si>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</si>
  <si>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</si>
  <si>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</si>
  <si>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</si>
  <si>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</si>
  <si>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</si>
  <si>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</si>
  <si>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</si>
  <si>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</si>
  <si>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</si>
  <si>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</si>
  <si>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</si>
  <si>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</si>
  <si>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</si>
  <si>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</si>
  <si>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</si>
  <si>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</si>
  <si>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</si>
  <si>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</si>
  <si>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</si>
  <si>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</si>
  <si>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</si>
  <si>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</si>
  <si>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</si>
  <si>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</si>
  <si>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</si>
  <si>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</si>
  <si>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</si>
  <si>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</si>
  <si>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</si>
  <si>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</si>
  <si>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</si>
  <si>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</si>
  <si>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</si>
  <si>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</si>
  <si>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</si>
  <si>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</si>
  <si>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</si>
  <si>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</si>
  <si>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</si>
  <si>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</si>
  <si>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</si>
  <si>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</si>
  <si>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</si>
  <si>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</si>
  <si>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</si>
  <si>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</si>
  <si>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</si>
  <si>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</si>
  <si>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</si>
  <si>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</si>
  <si>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</si>
  <si>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</si>
  <si>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</si>
  <si>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</si>
  <si>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</si>
  <si>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</si>
  <si>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</si>
  <si>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</si>
  <si>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</si>
  <si>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</si>
  <si>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</si>
  <si>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</si>
  <si>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</si>
  <si>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</si>
  <si>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</si>
  <si>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</si>
  <si>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</si>
  <si>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</si>
  <si>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</si>
  <si>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</si>
  <si>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</si>
  <si>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</si>
  <si>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</si>
  <si>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</si>
  <si>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</si>
  <si>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</si>
  <si>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</si>
  <si>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</si>
  <si>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</si>
  <si>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</si>
  <si>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</si>
  <si>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</si>
  <si>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</si>
  <si>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</si>
  <si>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</si>
  <si>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</si>
  <si>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</si>
  <si>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</si>
  <si>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</si>
  <si>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</si>
  <si>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</si>
  <si>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</si>
  <si>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</si>
  <si>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</si>
  <si>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</si>
  <si>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</si>
  <si>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</si>
  <si>
    <t>VIAGEM PARA REUNIÕES NA PETROBRAS/ TAG E DEMAIS.... ALINHAMENTO PARA ESTRUTURAR ABEGÁS QUE FAREMOS EM RECIFE.</t>
  </si>
  <si>
    <t>REUNIÃO COM TAG E PARTICIPAÇÃO NA SERGÁS</t>
  </si>
  <si>
    <t>DTC - DIRETORIA TECNICO COMERCIAL</t>
  </si>
  <si>
    <t>FELIPE VALENÇA DE SOUSA</t>
  </si>
  <si>
    <t>Origem/Destino</t>
  </si>
  <si>
    <t>RECIFE X SÃO PAULO X RECIFE</t>
  </si>
  <si>
    <t>RECIFE X SÃO PAULO</t>
  </si>
  <si>
    <t>SÃO PAULO X SALVADOR</t>
  </si>
  <si>
    <t>SÃO PAULO X RECIFE</t>
  </si>
  <si>
    <t>RIO DE JANEIRO X RECIFE</t>
  </si>
  <si>
    <t>RECIFE X RIO DE JANEIRO X RECIFE</t>
  </si>
  <si>
    <t>RECIFE X TERESINA X RECIFE</t>
  </si>
  <si>
    <t>RECIFE X SALVADOR X RECIFE</t>
  </si>
  <si>
    <t>CURITIBA X SÃO PAULO</t>
  </si>
  <si>
    <t>SÃO PAULO X RIO DE JANEIRO</t>
  </si>
  <si>
    <t>RIO DE JANEIRO X SÃO PAULO X RECIFE</t>
  </si>
  <si>
    <t>Participar da Feira Latinoamericana do Transporte e reunião com a Scania.</t>
  </si>
  <si>
    <t>MANUELA MELLO</t>
  </si>
  <si>
    <t>JACINTO SOUSA</t>
  </si>
  <si>
    <t>Evento (Aniversário de 30 anos da Compagás) e reunião na Compagás</t>
  </si>
  <si>
    <t>Reuniões em São Paulo</t>
  </si>
  <si>
    <t>23° Fórum Empresarial LIDE</t>
  </si>
  <si>
    <t>Participar de reuniões.</t>
  </si>
  <si>
    <t>DIEGO LIMA</t>
  </si>
  <si>
    <t>RECIFE X CURITIBA</t>
  </si>
  <si>
    <t>RECIFE X CURITIBA x RECIFE</t>
  </si>
  <si>
    <t xml:space="preserve">Reunião na Mitsui </t>
  </si>
  <si>
    <t>Planta de Regaseificação da ENEVA</t>
  </si>
  <si>
    <t>Acompanhamento de TAF de 2 sistemas de cromatografia na Delmar (Salvador-BA)</t>
  </si>
  <si>
    <t xml:space="preserve">Gas &amp; Energy Week </t>
  </si>
  <si>
    <t>SÃO PAULO X RIO DE JANEIRO X RECIFE</t>
  </si>
  <si>
    <t>Antecipação de volta à Recife. AF 59085</t>
  </si>
  <si>
    <t>Antecipação de volta à Recife AF 59112</t>
  </si>
  <si>
    <t>Antecipação de volta à Recife AF 59110</t>
  </si>
  <si>
    <t>Antecipação de volta à Recife. AF 59084</t>
  </si>
  <si>
    <t>A passagem de volta (28/08/24) irá gerar um crédito, pois o voo foi antecipado. AF 58732</t>
  </si>
  <si>
    <t>A passagem de volta (28/08/24) irá gerar um crédito, pois o voo foi antecipado. AF 58731</t>
  </si>
  <si>
    <t>Zanella não viajou. Pedro foi em seu lugar. AF 58997</t>
  </si>
  <si>
    <t>AF 58799</t>
  </si>
  <si>
    <t>AF 59081. DEVIDO VIAGEM A RIBEIRÃO PRETO, FOI NECESSÁRIO MODIFICAR BILHETE ANTERIORMENTE EMITIDO REC/GIG PARA RAO/SDU.</t>
  </si>
  <si>
    <t>AF 58813</t>
  </si>
  <si>
    <t>DIRETOR DTC</t>
  </si>
  <si>
    <t>DIRETORA DAF</t>
  </si>
  <si>
    <t>GERENTE COMERCIAL VEICULAR E INDUSTRIAL</t>
  </si>
  <si>
    <t>ENGENHEIRO DE CONTRUÇÃO DE OBRAS</t>
  </si>
  <si>
    <t>ASSISTENTE DTC</t>
  </si>
  <si>
    <t>GCVI - GERÊNCIA COMERCIAL VEICULAR E INDUSTRIAL</t>
  </si>
  <si>
    <t>GERE - GERÊNCIA DE ENGENHARIA</t>
  </si>
  <si>
    <t>GFIN - GERÊNCIA FINANCEIRA</t>
  </si>
  <si>
    <t>CGCR - COORD. DE GOVERNANÇA, CONFORMIDADE E RISCOS</t>
  </si>
  <si>
    <t>COORD. CGCR</t>
  </si>
  <si>
    <t>COORD DE MEDIÇÃO E ANÁLISE DE REDE</t>
  </si>
  <si>
    <t>ANDERSON BOMFIM PINHEIRO</t>
  </si>
  <si>
    <t>Participação do Comitê de Auditoria Estatutária</t>
  </si>
  <si>
    <t>CONSELHEIRO</t>
  </si>
  <si>
    <t>RODRIGO FREITAS CAYRES</t>
  </si>
  <si>
    <t>Participação da Missão Net Zero 2024 - Amcham.</t>
  </si>
  <si>
    <t>LONDRES X LISBOA</t>
  </si>
  <si>
    <t>AMSTERDAN X LONDRES</t>
  </si>
  <si>
    <t>RECIFE X CAMPINAS X PRES. PRUDENTE</t>
  </si>
  <si>
    <t>PRES. PRUDENTE X CAMPINAS X RECIFE</t>
  </si>
  <si>
    <t>Participar de reuniões e visita</t>
  </si>
  <si>
    <t>Participar do Rio Oil &amp; Gás</t>
  </si>
  <si>
    <t xml:space="preserve">BERNARDO RIBEIRO </t>
  </si>
  <si>
    <t>ABEGÁS - Evento O papel do Gás Natural e Biometano na Transição Energética Justa, Acessível e Sustentável</t>
  </si>
  <si>
    <t>RECIFE X BRASÍLIA X RECIFE</t>
  </si>
  <si>
    <t>BRUNA MACIAS</t>
  </si>
  <si>
    <t>GMAR - GERÊNCIA DE MEDIÇÃO E ANÁLISE DE REDE</t>
  </si>
  <si>
    <t>HUGO RAFAEL SILVEIRA</t>
  </si>
  <si>
    <t>JOÃO ALFREDO DE MORAIS GUERRA</t>
  </si>
  <si>
    <t>GCRC - GERêNCIA COMERCIAL RESIDENCIAL E COMERCIAL</t>
  </si>
  <si>
    <t>SUPERVIDOR RESIDENCIAL</t>
  </si>
  <si>
    <t>GERENTE GCRC</t>
  </si>
  <si>
    <t>A viagem a trabalho foi entre os dias 8 e 9 de agosto. O colaborador ficou dias a mais por conta própria</t>
  </si>
  <si>
    <t>EVELLYN GOMES</t>
  </si>
  <si>
    <t>FRANCISCO GOMES</t>
  </si>
  <si>
    <t>ANALISTA</t>
  </si>
  <si>
    <t>WALTER SOUZA FILHO</t>
  </si>
  <si>
    <t>RECIFE X PETROLINA X RECIFE</t>
  </si>
  <si>
    <t>GDIS - GERÊNCIA DE DISTRIBUIÇÃO</t>
  </si>
  <si>
    <t>foi solicitada a emissão da passagem do trecho CGH X REC, para o dia 22/08, na companhia azul</t>
  </si>
  <si>
    <t>foi solicitada uma nova emissão, devido a um imprevisto, na companhia Gol, em um novo horário</t>
  </si>
  <si>
    <t>Remarcação</t>
  </si>
  <si>
    <t>Antecipação de volta à Recife AF 59085</t>
  </si>
  <si>
    <t>Antecipação de volta à Recife AF 5912</t>
  </si>
  <si>
    <t>SALVADOR X RIO DE JANEIRO</t>
  </si>
  <si>
    <t>15/0/2024</t>
  </si>
  <si>
    <t>AF 58784</t>
  </si>
  <si>
    <t>CONGONHAS X RIO DE JANEIRO</t>
  </si>
  <si>
    <t>GCON - GERÊNCIA DE CONTABILIDADE</t>
  </si>
  <si>
    <t>COORDENADORA QSMS</t>
  </si>
  <si>
    <t>GERENTE CONTÁBIL</t>
  </si>
  <si>
    <t>Nº 1551</t>
  </si>
  <si>
    <t>COORD PLANEJAMENTO</t>
  </si>
  <si>
    <t>Visita técnica de instalação da ERPM da SM Gesso</t>
  </si>
  <si>
    <t>CAE - Comitê de Auditoria Estatutário</t>
  </si>
  <si>
    <t>Encontro do Segmento Residencial da Abegás, realizado na COMGÁS</t>
  </si>
  <si>
    <t>QSMS - Qualidade, Seguraça, Meio Ambiente e Saúde</t>
  </si>
  <si>
    <t>MARIA CLARA PEREIRA DE OLIVEIRA</t>
  </si>
  <si>
    <t>SUPERVISORA CONTÁBIL</t>
  </si>
  <si>
    <t>CAMPINAS/SP X RECIFE X CAMPINAS/SP</t>
  </si>
  <si>
    <t>LEGILMO MARCELO OLIVEIRA</t>
  </si>
  <si>
    <t>GETI - GERÊNCIA DE TECNOLOGIA</t>
  </si>
  <si>
    <t>Reunião na Mistsiu e encontro de contabilidade da ABEGAS</t>
  </si>
  <si>
    <t>CARLOS EDUARDO ALCOFORADO</t>
  </si>
  <si>
    <t>CJUR - Coordenadoria Jurídica</t>
  </si>
  <si>
    <t>Coord Jurídico</t>
  </si>
  <si>
    <t>11º Fórum do Biogás no Rio de Janeiro</t>
  </si>
  <si>
    <t>Visitar empresas de ERP</t>
  </si>
  <si>
    <t>PATRICIA ZARIFE COX</t>
  </si>
  <si>
    <t>RECIFE X ORLANDO X RECIFE</t>
  </si>
  <si>
    <t>Evento Gartner</t>
  </si>
  <si>
    <t>TACIANA ALVES</t>
  </si>
  <si>
    <t>RECIFE X CAMPINA/SP X RECIFE</t>
  </si>
  <si>
    <t>Missão Técnica: Tubos, Conexões e Acessórios Multicamadas - EMMETI - Itália.</t>
  </si>
  <si>
    <t>ENGENHEIRO</t>
  </si>
  <si>
    <t>TÉCNICA OPERACIONAL</t>
  </si>
  <si>
    <t>Realização de TAF da ETC BIOMETANO, no município de SALTO-SP.</t>
  </si>
  <si>
    <t>Feira Internacional de Segurança e Proteção em SP</t>
  </si>
  <si>
    <t>CPLA - COORDENADORIA DE PLANEJAMENTO ESTRATÉGICO</t>
  </si>
  <si>
    <t>Reunião com consultoria estratégica</t>
  </si>
  <si>
    <t>CLEBSON CAMPELO</t>
  </si>
  <si>
    <t>TAF DO PAINEL PLC</t>
  </si>
  <si>
    <t>GETÚLIO MELO</t>
  </si>
  <si>
    <t xml:space="preserve">VIAGEM DE FISCALIZAÇÃO DA OBRA DO BOLSÃO DE PETROLINA FASE 2A. </t>
  </si>
  <si>
    <t>JEAN CARLO DO NASCIMENTO</t>
  </si>
  <si>
    <t>FISCALIZAÇÃO DA OBRA DO BOLSÃO PETROLINA FASE 2A</t>
  </si>
  <si>
    <t>Prospecção de Clientes - Araripina</t>
  </si>
  <si>
    <t>TÚLIO VIANA</t>
  </si>
  <si>
    <t>RENATA ALBUQUERQUE</t>
  </si>
  <si>
    <t>DANILO PAVEL</t>
  </si>
  <si>
    <t>AFRÂNIO SILVA</t>
  </si>
  <si>
    <t>ADRIANA GOMES</t>
  </si>
  <si>
    <t>Analista</t>
  </si>
  <si>
    <t>RECIFE X SÃO PAULO/CGH X RECIFE</t>
  </si>
  <si>
    <t>COMUN - COMUNICAÇÃO</t>
  </si>
  <si>
    <t>THIAGO FERNANDES</t>
  </si>
  <si>
    <t>Treinamento da CETESB, em São Paulo.</t>
  </si>
  <si>
    <t>INST - INSTITUCIONAL</t>
  </si>
  <si>
    <t>Conferência Ibero-Brasileira de energia</t>
  </si>
  <si>
    <t>RECIFE X LISBOA X RECIFE</t>
  </si>
  <si>
    <t>MARIA CLARA OLIVEIRA</t>
  </si>
  <si>
    <t>RECIFE X FORTALEZA X RECIFE</t>
  </si>
  <si>
    <t>GCON - GERêNCIA DE CONTABILIDADE</t>
  </si>
  <si>
    <t>WALTER FILHO</t>
  </si>
  <si>
    <t>SALVADOR X RECIFE X SALVADOR</t>
  </si>
  <si>
    <t>Substituição de férias do colaborador Hugo Diniz (Petrolina)</t>
  </si>
  <si>
    <t>Reunião GT de Contabilidade ABEGÁS 28 e 29 de novembro</t>
  </si>
  <si>
    <t>RD SUMMIT</t>
  </si>
  <si>
    <t>JULIO CESAR FRANCA DE SANTANA</t>
  </si>
  <si>
    <t>RENATA DAMASIO</t>
  </si>
  <si>
    <t>GADS - GERêNCIA DE ADM E SUPRIMENTOS</t>
  </si>
  <si>
    <t>ENGENHEIRA</t>
  </si>
  <si>
    <t>SUPERVISOR</t>
  </si>
  <si>
    <t>Treinamento sobre e-social</t>
  </si>
  <si>
    <t>Suporte durante férias do Técnico Hugo Diniz</t>
  </si>
  <si>
    <t>ABEGÁS/Reuniões diversas.</t>
  </si>
  <si>
    <t>GERENTE FISCAL</t>
  </si>
  <si>
    <t>JOSE EUDES UCHOA</t>
  </si>
  <si>
    <t>QSMS - QUALIDADE, SEGURAÇA, MEIO AMBIENTE E SAÚDE</t>
  </si>
  <si>
    <t>COORDENADOR DE MEDIÇÃO E ANÁLISE DE REDE</t>
  </si>
  <si>
    <t>RIO DE JANEIRO X SÃO PAULO</t>
  </si>
  <si>
    <t>REPRESENTAÇÃO DA COORDENADORIA DE QSMS NA REUNIÃO MITSUI</t>
  </si>
  <si>
    <t>PARTICIPAR REUNIÃO E EVENTO ABEGÁS - JANTAR COMMIT</t>
  </si>
  <si>
    <t>Evento Premiação PEx 2024 | Jantar Anual dos Associados da ABEGÁS</t>
  </si>
  <si>
    <t>Evento - Petroreconcavo - Gás em Movimento: Conectando o Futuro</t>
  </si>
  <si>
    <t>Teste de Aceitação de Fábrica - Cromatógrafo de Gás Biometano</t>
  </si>
  <si>
    <t>VIAGEM PARA O RIO DE JANEIRO ACOMPANHANDO OS SERCRETÁRIOS GUILHERME CAVALCANTI E MAURÍCIO LARANJEIRAS, DE 16/12 ATÉ 18/12.
PARTICIPARÃO DE REUNIÕES NA ENERGIZA, MITSUI, SUMITOMO, PETROBRÁS E BRAVA.</t>
  </si>
  <si>
    <t>RUBENS SILVA JUNIOR</t>
  </si>
  <si>
    <t>COORD. INSTITUCIONAL</t>
  </si>
  <si>
    <t>ENCONTRO DAS CIAS DE GÁS - SALVADOR</t>
  </si>
  <si>
    <t>LEANDRO ARAUJO</t>
  </si>
  <si>
    <t>FORTALEZA X RECIFE</t>
  </si>
  <si>
    <t>GESTOR DE PLANEJ E CONTROLE DE CONTRATOS</t>
  </si>
  <si>
    <t>GERE - GERENCIA DE ENGENHARIA</t>
  </si>
  <si>
    <t>CONSELHEIRO - NORGÁS</t>
  </si>
  <si>
    <t>TEC OPERACIONAL</t>
  </si>
  <si>
    <t>Reunião na ES Gás.</t>
  </si>
  <si>
    <t>CONSELHEIRO FISCAL</t>
  </si>
  <si>
    <t>SUBSTITUIÇÃO DE FÉRIAS DO COLABORADOR HUGO DINIZ</t>
  </si>
  <si>
    <t>RECIFE X VITÓRIA X RECIFE</t>
  </si>
  <si>
    <t>Reunião na Copergás do Conselho Fiscal</t>
  </si>
  <si>
    <t>BRUNO MONTEIRO COSTA</t>
  </si>
  <si>
    <t>WEBSON KLEITON DOS SANTOS</t>
  </si>
  <si>
    <t>RECIFE X FORTALEZA</t>
  </si>
  <si>
    <t xml:space="preserve">DIRETOR PRESIDENTE </t>
  </si>
  <si>
    <t>COORD JURIDICO</t>
  </si>
  <si>
    <t>GCRC - GERENCIA RESIDENCIAL E COMERCIAL</t>
  </si>
  <si>
    <t>SUPERVISOR RESIDENCIAL</t>
  </si>
  <si>
    <t>SUPERVISOR INDUSTRIAL</t>
  </si>
  <si>
    <t>GERENTE GCVI</t>
  </si>
  <si>
    <t>CAPTAÇÃO DE CLIENTES</t>
  </si>
  <si>
    <t>PRESPECÇÃO DE CLIENTES</t>
  </si>
  <si>
    <t>RECIFE X BRASILIA X RECIFE</t>
  </si>
  <si>
    <t>RECIFE X RIO DE JANEIRO</t>
  </si>
  <si>
    <t>MILTON RICARDO SILVA</t>
  </si>
  <si>
    <t>RECIFE X SALVADOR</t>
  </si>
  <si>
    <t>GFIN- GERENCIA FINANCEIRA</t>
  </si>
  <si>
    <t>GCON - GERENCIA DE CONTABILIDADE</t>
  </si>
  <si>
    <t>GERENTE CONTÁBEIS</t>
  </si>
  <si>
    <t>ASSISTENTE DAF</t>
  </si>
  <si>
    <t>GAS WEEK 2025</t>
  </si>
  <si>
    <t>III SEMINÁRIO NOVA REFORMA TRIBUTÁRIA - FGV/FIRJAN (RJ)</t>
  </si>
  <si>
    <t>VISITA BB - SANTANDER - DAYCOVAL - SP</t>
  </si>
  <si>
    <t>VIAGEM DE RETORNO VISITA DOS REPS MITSUI.</t>
  </si>
  <si>
    <t>Reunião sobre tema regulatório.</t>
  </si>
  <si>
    <t>Evento Sindcombustíveis + Visita Gypsum</t>
  </si>
  <si>
    <t>Viagem P/ Reunião sobre tema regulatório/Rio de Janeiro.</t>
  </si>
  <si>
    <t>Ref. antecipação do bilhete da volta da viagem ao RJ - Reunião Mitsui.</t>
  </si>
  <si>
    <t>Reunião com Mitsui e Norgás (Tratar da PPN).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</si>
</sst>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$&quot;\ #,##0;[Red]\-&quot;R$&quot;\ #,##0"/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77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rgb="FF000000"/>
      <name val="Cambria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8" fillId="2" borderId="0" applyNumberFormat="0" applyFont="0" applyBorder="0" applyProtection="0"/>
    <xf numFmtId="0" fontId="59" fillId="0" borderId="0" applyNumberFormat="0" applyBorder="0" applyProtection="0">
      <alignment horizontal="center"/>
    </xf>
    <xf numFmtId="0" fontId="59" fillId="0" borderId="0" applyNumberFormat="0" applyBorder="0" applyProtection="0">
      <alignment horizontal="center" textRotation="90"/>
    </xf>
    <xf numFmtId="0" fontId="60" fillId="0" borderId="0" applyNumberFormat="0" applyBorder="0" applyProtection="0"/>
    <xf numFmtId="166" fontId="60" fillId="0" borderId="0" applyBorder="0" applyProtection="0"/>
    <xf numFmtId="0" fontId="57" fillId="0" borderId="0"/>
    <xf numFmtId="44" fontId="58" fillId="0" borderId="0" applyFont="0" applyFill="0" applyBorder="0" applyAlignment="0" applyProtection="0"/>
    <xf numFmtId="0" fontId="54" fillId="0" borderId="0"/>
  </cellStyleXfs>
  <cellXfs count="511">
    <xf numFmtId="0" fontId="0" fillId="0" borderId="0" xfId="0"/>
    <xf numFmtId="0" fontId="0" fillId="3" borderId="0" xfId="0" applyFill="1"/>
    <xf numFmtId="0" fontId="66" fillId="3" borderId="0" xfId="0" applyFont="1" applyFill="1"/>
    <xf numFmtId="0" fontId="67" fillId="3" borderId="0" xfId="0" applyFont="1" applyFill="1"/>
    <xf numFmtId="0" fontId="67" fillId="0" borderId="0" xfId="0" applyFont="1"/>
    <xf numFmtId="0" fontId="64" fillId="3" borderId="0" xfId="0" applyFont="1" applyFill="1"/>
    <xf numFmtId="0" fontId="62" fillId="3" borderId="0" xfId="0" applyFont="1" applyFill="1"/>
    <xf numFmtId="0" fontId="65" fillId="3" borderId="0" xfId="0" applyFont="1" applyFill="1"/>
    <xf numFmtId="165" fontId="61" fillId="0" borderId="1" xfId="0" applyNumberFormat="1" applyFont="1" applyBorder="1" applyAlignment="1">
      <alignment horizontal="right"/>
    </xf>
    <xf numFmtId="0" fontId="0" fillId="5" borderId="0" xfId="0" applyFill="1"/>
    <xf numFmtId="0" fontId="63" fillId="5" borderId="0" xfId="0" applyFont="1" applyFill="1" applyAlignment="1">
      <alignment horizontal="center"/>
    </xf>
    <xf numFmtId="164" fontId="63" fillId="5" borderId="0" xfId="0" applyNumberFormat="1" applyFont="1" applyFill="1" applyAlignment="1">
      <alignment horizontal="center"/>
    </xf>
    <xf numFmtId="0" fontId="68" fillId="3" borderId="1" xfId="0" applyFont="1" applyFill="1" applyBorder="1" applyAlignment="1">
      <alignment horizontal="center" vertical="top"/>
    </xf>
    <xf numFmtId="0" fontId="68" fillId="0" borderId="1" xfId="0" applyFont="1" applyBorder="1" applyAlignment="1">
      <alignment horizontal="center" vertical="top"/>
    </xf>
    <xf numFmtId="0" fontId="68" fillId="3" borderId="1" xfId="0" applyFont="1" applyFill="1" applyBorder="1" applyAlignment="1">
      <alignment horizontal="center" vertical="top" wrapText="1"/>
    </xf>
    <xf numFmtId="164" fontId="68" fillId="3" borderId="1" xfId="0" applyNumberFormat="1" applyFont="1" applyFill="1" applyBorder="1" applyAlignment="1">
      <alignment horizontal="center" vertical="top"/>
    </xf>
    <xf numFmtId="14" fontId="68" fillId="3" borderId="1" xfId="0" applyNumberFormat="1" applyFont="1" applyFill="1" applyBorder="1" applyAlignment="1">
      <alignment horizontal="center" vertical="top"/>
    </xf>
    <xf numFmtId="14" fontId="68" fillId="3" borderId="2" xfId="0" applyNumberFormat="1" applyFont="1" applyFill="1" applyBorder="1" applyAlignment="1">
      <alignment horizontal="center" vertical="top"/>
    </xf>
    <xf numFmtId="0" fontId="67" fillId="0" borderId="1" xfId="0" applyFont="1" applyBorder="1" applyAlignment="1">
      <alignment horizontal="center" vertical="top"/>
    </xf>
    <xf numFmtId="0" fontId="68" fillId="3" borderId="1" xfId="0" applyFont="1" applyFill="1" applyBorder="1" applyAlignment="1">
      <alignment horizontal="center" vertical="center"/>
    </xf>
    <xf numFmtId="0" fontId="68" fillId="3" borderId="1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/>
    </xf>
    <xf numFmtId="164" fontId="68" fillId="3" borderId="1" xfId="0" applyNumberFormat="1" applyFont="1" applyFill="1" applyBorder="1" applyAlignment="1">
      <alignment horizontal="center" vertical="center"/>
    </xf>
    <xf numFmtId="14" fontId="68" fillId="3" borderId="1" xfId="0" applyNumberFormat="1" applyFont="1" applyFill="1" applyBorder="1" applyAlignment="1">
      <alignment horizontal="center" vertical="center"/>
    </xf>
    <xf numFmtId="167" fontId="68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68" fillId="3" borderId="1" xfId="0" applyNumberFormat="1" applyFont="1" applyFill="1" applyBorder="1" applyAlignment="1">
      <alignment horizontal="center" vertical="center"/>
    </xf>
    <xf numFmtId="0" fontId="68" fillId="6" borderId="1" xfId="0" applyFont="1" applyFill="1" applyBorder="1" applyAlignment="1">
      <alignment horizontal="center" vertical="center"/>
    </xf>
    <xf numFmtId="0" fontId="68" fillId="6" borderId="1" xfId="0" applyFont="1" applyFill="1" applyBorder="1" applyAlignment="1">
      <alignment horizontal="center" vertical="top"/>
    </xf>
    <xf numFmtId="49" fontId="68" fillId="6" borderId="1" xfId="0" applyNumberFormat="1" applyFont="1" applyFill="1" applyBorder="1" applyAlignment="1">
      <alignment horizontal="center" vertical="center"/>
    </xf>
    <xf numFmtId="0" fontId="68" fillId="7" borderId="1" xfId="0" applyFont="1" applyFill="1" applyBorder="1" applyAlignment="1">
      <alignment horizontal="center" vertical="center"/>
    </xf>
    <xf numFmtId="164" fontId="68" fillId="6" borderId="1" xfId="0" applyNumberFormat="1" applyFont="1" applyFill="1" applyBorder="1" applyAlignment="1">
      <alignment horizontal="center" vertical="center"/>
    </xf>
    <xf numFmtId="167" fontId="68" fillId="6" borderId="1" xfId="0" applyNumberFormat="1" applyFont="1" applyFill="1" applyBorder="1" applyAlignment="1">
      <alignment horizontal="center" vertical="center"/>
    </xf>
    <xf numFmtId="0" fontId="67" fillId="7" borderId="1" xfId="0" applyFont="1" applyFill="1" applyBorder="1" applyAlignment="1">
      <alignment horizontal="center" vertical="top"/>
    </xf>
    <xf numFmtId="0" fontId="68" fillId="6" borderId="1" xfId="0" applyFont="1" applyFill="1" applyBorder="1" applyAlignment="1">
      <alignment horizontal="center" vertical="center" wrapText="1"/>
    </xf>
    <xf numFmtId="14" fontId="68" fillId="6" borderId="1" xfId="0" applyNumberFormat="1" applyFont="1" applyFill="1" applyBorder="1" applyAlignment="1">
      <alignment horizontal="center" vertical="center"/>
    </xf>
    <xf numFmtId="0" fontId="67" fillId="7" borderId="1" xfId="0" applyFont="1" applyFill="1" applyBorder="1" applyAlignment="1">
      <alignment horizontal="center" vertical="center"/>
    </xf>
    <xf numFmtId="0" fontId="68" fillId="6" borderId="1" xfId="0" applyFont="1" applyFill="1" applyBorder="1" applyAlignment="1">
      <alignment horizontal="center" vertical="top" wrapText="1"/>
    </xf>
    <xf numFmtId="14" fontId="68" fillId="6" borderId="4" xfId="0" applyNumberFormat="1" applyFont="1" applyFill="1" applyBorder="1" applyAlignment="1">
      <alignment horizontal="center" vertical="center"/>
    </xf>
    <xf numFmtId="164" fontId="68" fillId="6" borderId="5" xfId="0" applyNumberFormat="1" applyFont="1" applyFill="1" applyBorder="1" applyAlignment="1">
      <alignment horizontal="center" vertical="center"/>
    </xf>
    <xf numFmtId="0" fontId="68" fillId="6" borderId="5" xfId="0" applyFont="1" applyFill="1" applyBorder="1" applyAlignment="1">
      <alignment horizontal="center" vertical="center"/>
    </xf>
    <xf numFmtId="167" fontId="68" fillId="6" borderId="5" xfId="0" applyNumberFormat="1" applyFont="1" applyFill="1" applyBorder="1" applyAlignment="1">
      <alignment horizontal="center" vertical="center"/>
    </xf>
    <xf numFmtId="0" fontId="67" fillId="7" borderId="5" xfId="0" applyFont="1" applyFill="1" applyBorder="1" applyAlignment="1">
      <alignment horizontal="center" vertical="top"/>
    </xf>
    <xf numFmtId="164" fontId="68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68" fillId="6" borderId="3" xfId="0" applyNumberFormat="1" applyFont="1" applyFill="1" applyBorder="1" applyAlignment="1">
      <alignment horizontal="center" vertical="center"/>
    </xf>
    <xf numFmtId="167" fontId="68" fillId="6" borderId="3" xfId="0" applyNumberFormat="1" applyFont="1" applyFill="1" applyBorder="1" applyAlignment="1">
      <alignment horizontal="center" vertical="center"/>
    </xf>
    <xf numFmtId="0" fontId="68" fillId="6" borderId="3" xfId="0" applyFont="1" applyFill="1" applyBorder="1" applyAlignment="1">
      <alignment horizontal="center" vertical="center"/>
    </xf>
    <xf numFmtId="164" fontId="68" fillId="6" borderId="2" xfId="0" applyNumberFormat="1" applyFont="1" applyFill="1" applyBorder="1" applyAlignment="1">
      <alignment horizontal="center" vertical="center"/>
    </xf>
    <xf numFmtId="0" fontId="68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68" fillId="6" borderId="5" xfId="0" applyNumberFormat="1" applyFont="1" applyFill="1" applyBorder="1" applyAlignment="1">
      <alignment horizontal="center" vertical="center"/>
    </xf>
    <xf numFmtId="14" fontId="68" fillId="6" borderId="5" xfId="0" applyNumberFormat="1" applyFont="1" applyFill="1" applyBorder="1" applyAlignment="1">
      <alignment horizontal="center" vertical="center"/>
    </xf>
    <xf numFmtId="0" fontId="68" fillId="6" borderId="3" xfId="0" applyFont="1" applyFill="1" applyBorder="1" applyAlignment="1">
      <alignment horizontal="center" vertical="center" wrapText="1"/>
    </xf>
    <xf numFmtId="14" fontId="68" fillId="6" borderId="3" xfId="0" applyNumberFormat="1" applyFont="1" applyFill="1" applyBorder="1" applyAlignment="1">
      <alignment horizontal="center" vertical="center"/>
    </xf>
    <xf numFmtId="0" fontId="68" fillId="7" borderId="3" xfId="0" applyFont="1" applyFill="1" applyBorder="1" applyAlignment="1">
      <alignment horizontal="center" vertical="center"/>
    </xf>
    <xf numFmtId="49" fontId="68" fillId="6" borderId="3" xfId="0" applyNumberFormat="1" applyFont="1" applyFill="1" applyBorder="1" applyAlignment="1">
      <alignment horizontal="center" vertical="center"/>
    </xf>
    <xf numFmtId="164" fontId="68" fillId="6" borderId="15" xfId="0" applyNumberFormat="1" applyFont="1" applyFill="1" applyBorder="1" applyAlignment="1">
      <alignment horizontal="center" vertical="center"/>
    </xf>
    <xf numFmtId="164" fontId="68" fillId="6" borderId="17" xfId="0" applyNumberFormat="1" applyFont="1" applyFill="1" applyBorder="1" applyAlignment="1">
      <alignment horizontal="center" vertical="center"/>
    </xf>
    <xf numFmtId="168" fontId="68" fillId="6" borderId="3" xfId="0" applyNumberFormat="1" applyFont="1" applyFill="1" applyBorder="1" applyAlignment="1">
      <alignment horizontal="center" vertical="center"/>
    </xf>
    <xf numFmtId="167" fontId="68" fillId="6" borderId="15" xfId="0" applyNumberFormat="1" applyFont="1" applyFill="1" applyBorder="1" applyAlignment="1">
      <alignment horizontal="center" vertical="center"/>
    </xf>
    <xf numFmtId="0" fontId="68" fillId="3" borderId="2" xfId="0" applyFont="1" applyFill="1" applyBorder="1" applyAlignment="1">
      <alignment horizontal="center" vertical="center" wrapText="1"/>
    </xf>
    <xf numFmtId="14" fontId="68" fillId="6" borderId="1" xfId="0" applyNumberFormat="1" applyFont="1" applyFill="1" applyBorder="1" applyAlignment="1">
      <alignment horizontal="center" vertical="center" wrapText="1"/>
    </xf>
    <xf numFmtId="44" fontId="68" fillId="6" borderId="1" xfId="7" applyFont="1" applyFill="1" applyBorder="1" applyAlignment="1">
      <alignment horizontal="center" vertical="center" wrapText="1"/>
    </xf>
    <xf numFmtId="0" fontId="68" fillId="3" borderId="5" xfId="0" applyFont="1" applyFill="1" applyBorder="1" applyAlignment="1">
      <alignment horizontal="center" vertical="center" wrapText="1"/>
    </xf>
    <xf numFmtId="0" fontId="68" fillId="6" borderId="5" xfId="0" applyFont="1" applyFill="1" applyBorder="1" applyAlignment="1">
      <alignment horizontal="center" vertical="center" wrapText="1"/>
    </xf>
    <xf numFmtId="0" fontId="68" fillId="3" borderId="3" xfId="0" applyFont="1" applyFill="1" applyBorder="1" applyAlignment="1">
      <alignment horizontal="center" vertical="center" wrapText="1"/>
    </xf>
    <xf numFmtId="14" fontId="68" fillId="6" borderId="5" xfId="0" applyNumberFormat="1" applyFont="1" applyFill="1" applyBorder="1" applyAlignment="1">
      <alignment horizontal="center" vertical="center" wrapText="1"/>
    </xf>
    <xf numFmtId="44" fontId="68" fillId="6" borderId="5" xfId="7" applyFont="1" applyFill="1" applyBorder="1" applyAlignment="1">
      <alignment horizontal="center" vertical="center" wrapText="1"/>
    </xf>
    <xf numFmtId="14" fontId="68" fillId="6" borderId="3" xfId="0" applyNumberFormat="1" applyFont="1" applyFill="1" applyBorder="1" applyAlignment="1">
      <alignment horizontal="center" vertical="center" wrapText="1"/>
    </xf>
    <xf numFmtId="44" fontId="68" fillId="6" borderId="3" xfId="7" applyFont="1" applyFill="1" applyBorder="1" applyAlignment="1">
      <alignment horizontal="center" vertical="center" wrapText="1"/>
    </xf>
    <xf numFmtId="0" fontId="68" fillId="6" borderId="19" xfId="0" applyFont="1" applyFill="1" applyBorder="1" applyAlignment="1">
      <alignment horizontal="center" vertical="center" wrapText="1"/>
    </xf>
    <xf numFmtId="165" fontId="61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56" fillId="0" borderId="3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4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54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4" fillId="0" borderId="0" xfId="8" applyAlignment="1">
      <alignment horizontal="center" vertical="center"/>
    </xf>
    <xf numFmtId="0" fontId="68" fillId="6" borderId="13" xfId="0" applyFont="1" applyFill="1" applyBorder="1" applyAlignment="1">
      <alignment horizontal="center" vertical="center" wrapText="1"/>
    </xf>
    <xf numFmtId="169" fontId="56" fillId="0" borderId="3" xfId="0" applyNumberFormat="1" applyFont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49" fontId="68" fillId="6" borderId="13" xfId="0" applyNumberFormat="1" applyFont="1" applyFill="1" applyBorder="1" applyAlignment="1">
      <alignment horizontal="center" vertical="center"/>
    </xf>
    <xf numFmtId="0" fontId="68" fillId="3" borderId="13" xfId="0" applyFont="1" applyFill="1" applyBorder="1" applyAlignment="1">
      <alignment horizontal="center" vertical="center" wrapText="1"/>
    </xf>
    <xf numFmtId="14" fontId="68" fillId="6" borderId="13" xfId="0" applyNumberFormat="1" applyFont="1" applyFill="1" applyBorder="1" applyAlignment="1">
      <alignment horizontal="center" vertical="center" wrapText="1"/>
    </xf>
    <xf numFmtId="169" fontId="56" fillId="0" borderId="13" xfId="0" applyNumberFormat="1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43" fillId="0" borderId="3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68" fillId="6" borderId="13" xfId="0" applyFont="1" applyFill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0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4" fontId="0" fillId="0" borderId="0" xfId="0" applyNumberFormat="1"/>
    <xf numFmtId="0" fontId="40" fillId="0" borderId="3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36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/>
    </xf>
    <xf numFmtId="0" fontId="0" fillId="9" borderId="0" xfId="0" applyFill="1"/>
    <xf numFmtId="0" fontId="25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68" fillId="6" borderId="13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68" fillId="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9" fillId="0" borderId="0" xfId="0" applyFont="1"/>
    <xf numFmtId="0" fontId="6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9" fillId="0" borderId="3" xfId="0" applyFont="1" applyBorder="1"/>
    <xf numFmtId="0" fontId="69" fillId="0" borderId="3" xfId="0" applyFont="1" applyBorder="1" applyAlignment="1">
      <alignment horizontal="center" vertical="center"/>
    </xf>
    <xf numFmtId="44" fontId="0" fillId="0" borderId="3" xfId="7" applyFont="1" applyBorder="1" applyAlignment="1">
      <alignment vertical="center"/>
    </xf>
    <xf numFmtId="44" fontId="68" fillId="6" borderId="3" xfId="7" applyFont="1" applyFill="1" applyBorder="1" applyAlignment="1">
      <alignment vertical="center" wrapText="1"/>
    </xf>
    <xf numFmtId="0" fontId="14" fillId="0" borderId="14" xfId="0" applyFont="1" applyBorder="1" applyAlignment="1">
      <alignment horizontal="center" vertical="center"/>
    </xf>
    <xf numFmtId="0" fontId="69" fillId="0" borderId="13" xfId="0" applyFont="1" applyBorder="1" applyAlignment="1">
      <alignment horizontal="center" vertical="center"/>
    </xf>
    <xf numFmtId="0" fontId="69" fillId="0" borderId="14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 wrapText="1"/>
    </xf>
    <xf numFmtId="0" fontId="69" fillId="10" borderId="13" xfId="0" applyFont="1" applyFill="1" applyBorder="1" applyAlignment="1">
      <alignment horizontal="center" vertical="center"/>
    </xf>
    <xf numFmtId="0" fontId="69" fillId="10" borderId="3" xfId="0" applyFont="1" applyFill="1" applyBorder="1" applyAlignment="1">
      <alignment horizontal="center" vertical="center" wrapText="1"/>
    </xf>
    <xf numFmtId="0" fontId="56" fillId="10" borderId="3" xfId="0" applyFont="1" applyFill="1" applyBorder="1" applyAlignment="1">
      <alignment horizontal="center" vertical="center"/>
    </xf>
    <xf numFmtId="0" fontId="69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44" fontId="68" fillId="12" borderId="3" xfId="7" applyFont="1" applyFill="1" applyBorder="1" applyAlignment="1">
      <alignment vertical="center" wrapText="1"/>
    </xf>
    <xf numFmtId="0" fontId="31" fillId="10" borderId="3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68" fillId="12" borderId="3" xfId="0" applyFont="1" applyFill="1" applyBorder="1" applyAlignment="1">
      <alignment horizontal="center" vertical="center"/>
    </xf>
    <xf numFmtId="44" fontId="68" fillId="12" borderId="3" xfId="7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44" fontId="68" fillId="0" borderId="3" xfId="7" applyFont="1" applyFill="1" applyBorder="1" applyAlignment="1">
      <alignment horizontal="center" vertical="center" wrapText="1"/>
    </xf>
    <xf numFmtId="0" fontId="56" fillId="10" borderId="13" xfId="0" applyFont="1" applyFill="1" applyBorder="1" applyAlignment="1">
      <alignment horizontal="center" vertical="center"/>
    </xf>
    <xf numFmtId="44" fontId="68" fillId="12" borderId="13" xfId="7" applyFont="1" applyFill="1" applyBorder="1" applyAlignment="1">
      <alignment vertical="center" wrapText="1"/>
    </xf>
    <xf numFmtId="0" fontId="71" fillId="0" borderId="3" xfId="0" applyFont="1" applyBorder="1" applyAlignment="1">
      <alignment horizontal="center" vertical="center" wrapText="1"/>
    </xf>
    <xf numFmtId="0" fontId="71" fillId="10" borderId="3" xfId="0" applyFont="1" applyFill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14" fontId="69" fillId="0" borderId="3" xfId="0" applyNumberFormat="1" applyFont="1" applyBorder="1" applyAlignment="1">
      <alignment horizontal="center" vertical="center"/>
    </xf>
    <xf numFmtId="168" fontId="69" fillId="0" borderId="3" xfId="7" applyNumberFormat="1" applyFont="1" applyBorder="1" applyAlignment="1">
      <alignment horizontal="center" vertical="center"/>
    </xf>
    <xf numFmtId="44" fontId="69" fillId="0" borderId="3" xfId="7" applyFont="1" applyBorder="1" applyAlignment="1">
      <alignment horizontal="center" vertical="center"/>
    </xf>
    <xf numFmtId="14" fontId="69" fillId="10" borderId="3" xfId="0" applyNumberFormat="1" applyFont="1" applyFill="1" applyBorder="1" applyAlignment="1">
      <alignment horizontal="center" vertical="center"/>
    </xf>
    <xf numFmtId="168" fontId="69" fillId="10" borderId="3" xfId="7" applyNumberFormat="1" applyFont="1" applyFill="1" applyBorder="1" applyAlignment="1">
      <alignment horizontal="center" vertical="center"/>
    </xf>
    <xf numFmtId="44" fontId="69" fillId="0" borderId="3" xfId="7" applyFont="1" applyBorder="1" applyAlignment="1">
      <alignment vertical="center"/>
    </xf>
    <xf numFmtId="168" fontId="69" fillId="0" borderId="3" xfId="0" applyNumberFormat="1" applyFont="1" applyBorder="1" applyAlignment="1">
      <alignment horizontal="center" vertical="center"/>
    </xf>
    <xf numFmtId="44" fontId="69" fillId="0" borderId="13" xfId="7" applyFont="1" applyBorder="1" applyAlignment="1">
      <alignment horizontal="center" vertical="center"/>
    </xf>
    <xf numFmtId="168" fontId="69" fillId="10" borderId="3" xfId="0" applyNumberFormat="1" applyFont="1" applyFill="1" applyBorder="1" applyAlignment="1">
      <alignment horizontal="center" vertical="center"/>
    </xf>
    <xf numFmtId="168" fontId="69" fillId="10" borderId="13" xfId="7" applyNumberFormat="1" applyFont="1" applyFill="1" applyBorder="1" applyAlignment="1">
      <alignment horizontal="center" vertical="center"/>
    </xf>
    <xf numFmtId="168" fontId="69" fillId="0" borderId="3" xfId="7" applyNumberFormat="1" applyFont="1" applyFill="1" applyBorder="1" applyAlignment="1">
      <alignment horizontal="center" vertical="center"/>
    </xf>
    <xf numFmtId="44" fontId="69" fillId="0" borderId="3" xfId="7" applyFont="1" applyFill="1" applyBorder="1" applyAlignment="1">
      <alignment horizontal="center" vertical="center"/>
    </xf>
    <xf numFmtId="14" fontId="69" fillId="0" borderId="3" xfId="0" applyNumberFormat="1" applyFont="1" applyBorder="1"/>
    <xf numFmtId="168" fontId="69" fillId="0" borderId="0" xfId="0" applyNumberFormat="1" applyFont="1"/>
    <xf numFmtId="0" fontId="70" fillId="5" borderId="0" xfId="0" applyFont="1" applyFill="1" applyAlignment="1">
      <alignment horizontal="center" vertical="center"/>
    </xf>
    <xf numFmtId="164" fontId="70" fillId="5" borderId="0" xfId="0" applyNumberFormat="1" applyFont="1" applyFill="1" applyAlignment="1">
      <alignment horizontal="center" vertical="center"/>
    </xf>
    <xf numFmtId="0" fontId="63" fillId="5" borderId="0" xfId="0" applyFont="1" applyFill="1" applyAlignment="1">
      <alignment horizontal="center" vertical="center"/>
    </xf>
    <xf numFmtId="164" fontId="63" fillId="5" borderId="0" xfId="0" applyNumberFormat="1" applyFont="1" applyFill="1" applyAlignment="1">
      <alignment horizontal="center" vertical="center"/>
    </xf>
    <xf numFmtId="0" fontId="69" fillId="0" borderId="3" xfId="0" applyFont="1" applyBorder="1" applyAlignment="1">
      <alignment horizontal="left" vertical="center"/>
    </xf>
    <xf numFmtId="0" fontId="56" fillId="0" borderId="1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69" fillId="6" borderId="3" xfId="0" applyFont="1" applyFill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 wrapText="1"/>
    </xf>
    <xf numFmtId="0" fontId="69" fillId="0" borderId="0" xfId="0" applyFont="1" applyAlignment="1">
      <alignment horizontal="center" vertical="center" wrapText="1"/>
    </xf>
    <xf numFmtId="0" fontId="72" fillId="6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 wrapText="1"/>
    </xf>
    <xf numFmtId="0" fontId="71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vertical="center"/>
    </xf>
    <xf numFmtId="14" fontId="69" fillId="10" borderId="3" xfId="0" applyNumberFormat="1" applyFont="1" applyFill="1" applyBorder="1"/>
    <xf numFmtId="0" fontId="69" fillId="10" borderId="3" xfId="0" applyFont="1" applyFill="1" applyBorder="1"/>
    <xf numFmtId="0" fontId="69" fillId="10" borderId="3" xfId="0" applyFont="1" applyFill="1" applyBorder="1" applyAlignment="1">
      <alignment wrapText="1"/>
    </xf>
    <xf numFmtId="0" fontId="14" fillId="10" borderId="3" xfId="0" applyFont="1" applyFill="1" applyBorder="1" applyAlignment="1">
      <alignment horizontal="center" vertical="center" wrapText="1"/>
    </xf>
    <xf numFmtId="0" fontId="69" fillId="10" borderId="3" xfId="0" applyFont="1" applyFill="1" applyBorder="1" applyAlignment="1">
      <alignment vertical="center"/>
    </xf>
    <xf numFmtId="0" fontId="69" fillId="10" borderId="13" xfId="0" applyFont="1" applyFill="1" applyBorder="1" applyAlignment="1">
      <alignment horizontal="center" vertical="center" wrapText="1"/>
    </xf>
    <xf numFmtId="44" fontId="68" fillId="0" borderId="3" xfId="7" applyFont="1" applyFill="1" applyBorder="1" applyAlignment="1">
      <alignment vertical="center" wrapText="1"/>
    </xf>
    <xf numFmtId="168" fontId="68" fillId="0" borderId="3" xfId="7" applyNumberFormat="1" applyFont="1" applyFill="1" applyBorder="1" applyAlignment="1">
      <alignment vertical="center" wrapText="1"/>
    </xf>
    <xf numFmtId="0" fontId="72" fillId="0" borderId="3" xfId="0" applyFont="1" applyBorder="1" applyAlignment="1">
      <alignment horizontal="center" vertical="center"/>
    </xf>
    <xf numFmtId="44" fontId="69" fillId="0" borderId="3" xfId="7" applyFont="1" applyFill="1" applyBorder="1" applyAlignment="1">
      <alignment vertical="center"/>
    </xf>
    <xf numFmtId="44" fontId="0" fillId="0" borderId="3" xfId="7" applyFont="1" applyFill="1" applyBorder="1" applyAlignment="1">
      <alignment vertical="center"/>
    </xf>
    <xf numFmtId="14" fontId="71" fillId="10" borderId="3" xfId="0" applyNumberFormat="1" applyFont="1" applyFill="1" applyBorder="1" applyAlignment="1">
      <alignment horizontal="center" vertical="center"/>
    </xf>
    <xf numFmtId="168" fontId="71" fillId="10" borderId="3" xfId="7" applyNumberFormat="1" applyFont="1" applyFill="1" applyBorder="1" applyAlignment="1">
      <alignment horizontal="center" vertical="center"/>
    </xf>
    <xf numFmtId="168" fontId="71" fillId="10" borderId="13" xfId="7" applyNumberFormat="1" applyFont="1" applyFill="1" applyBorder="1" applyAlignment="1">
      <alignment horizontal="center" vertical="center"/>
    </xf>
    <xf numFmtId="44" fontId="72" fillId="6" borderId="3" xfId="7" applyFont="1" applyFill="1" applyBorder="1" applyAlignment="1">
      <alignment vertical="center" wrapText="1"/>
    </xf>
    <xf numFmtId="0" fontId="71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14" fontId="69" fillId="0" borderId="14" xfId="0" applyNumberFormat="1" applyFont="1" applyBorder="1" applyAlignment="1">
      <alignment horizontal="center" vertical="center"/>
    </xf>
    <xf numFmtId="168" fontId="69" fillId="0" borderId="14" xfId="7" applyNumberFormat="1" applyFont="1" applyBorder="1" applyAlignment="1">
      <alignment horizontal="center" vertical="center"/>
    </xf>
    <xf numFmtId="168" fontId="69" fillId="0" borderId="14" xfId="0" applyNumberFormat="1" applyFont="1" applyBorder="1" applyAlignment="1">
      <alignment horizontal="center" vertical="center"/>
    </xf>
    <xf numFmtId="44" fontId="71" fillId="0" borderId="14" xfId="7" applyFont="1" applyBorder="1" applyAlignment="1">
      <alignment vertical="center"/>
    </xf>
    <xf numFmtId="0" fontId="68" fillId="0" borderId="3" xfId="0" applyFont="1" applyBorder="1" applyAlignment="1">
      <alignment horizontal="center" vertical="center"/>
    </xf>
    <xf numFmtId="44" fontId="0" fillId="0" borderId="14" xfId="7" applyFont="1" applyFill="1" applyBorder="1" applyAlignment="1">
      <alignment vertical="center"/>
    </xf>
    <xf numFmtId="44" fontId="68" fillId="0" borderId="14" xfId="7" applyFont="1" applyFill="1" applyBorder="1" applyAlignment="1">
      <alignment vertical="center" wrapText="1"/>
    </xf>
    <xf numFmtId="0" fontId="69" fillId="0" borderId="25" xfId="0" applyFont="1" applyBorder="1" applyAlignment="1">
      <alignment horizontal="center" vertical="center"/>
    </xf>
    <xf numFmtId="44" fontId="69" fillId="0" borderId="3" xfId="0" applyNumberFormat="1" applyFont="1" applyBorder="1" applyAlignment="1">
      <alignment horizontal="center" vertical="center"/>
    </xf>
    <xf numFmtId="168" fontId="68" fillId="6" borderId="3" xfId="7" applyNumberFormat="1" applyFont="1" applyFill="1" applyBorder="1" applyAlignment="1">
      <alignment vertical="center" wrapText="1"/>
    </xf>
    <xf numFmtId="44" fontId="0" fillId="9" borderId="3" xfId="7" applyFont="1" applyFill="1" applyBorder="1" applyAlignment="1">
      <alignment horizontal="center" vertical="center"/>
    </xf>
    <xf numFmtId="0" fontId="69" fillId="10" borderId="3" xfId="0" applyFont="1" applyFill="1" applyBorder="1" applyAlignment="1">
      <alignment horizontal="left" vertical="center"/>
    </xf>
    <xf numFmtId="168" fontId="69" fillId="0" borderId="13" xfId="7" applyNumberFormat="1" applyFont="1" applyBorder="1" applyAlignment="1">
      <alignment horizontal="center" vertical="center"/>
    </xf>
    <xf numFmtId="168" fontId="71" fillId="0" borderId="14" xfId="7" applyNumberFormat="1" applyFont="1" applyBorder="1" applyAlignment="1">
      <alignment horizontal="center" vertical="center"/>
    </xf>
    <xf numFmtId="168" fontId="71" fillId="11" borderId="0" xfId="7" applyNumberFormat="1" applyFont="1" applyFill="1" applyAlignment="1">
      <alignment horizontal="center" vertical="center"/>
    </xf>
    <xf numFmtId="168" fontId="71" fillId="10" borderId="3" xfId="0" applyNumberFormat="1" applyFont="1" applyFill="1" applyBorder="1" applyAlignment="1">
      <alignment horizontal="center" vertical="center"/>
    </xf>
    <xf numFmtId="0" fontId="71" fillId="10" borderId="13" xfId="0" applyFont="1" applyFill="1" applyBorder="1" applyAlignment="1">
      <alignment horizontal="center" vertical="center"/>
    </xf>
    <xf numFmtId="14" fontId="71" fillId="10" borderId="13" xfId="0" applyNumberFormat="1" applyFont="1" applyFill="1" applyBorder="1" applyAlignment="1">
      <alignment horizontal="center" vertical="center"/>
    </xf>
    <xf numFmtId="168" fontId="71" fillId="10" borderId="13" xfId="0" applyNumberFormat="1" applyFont="1" applyFill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14" fontId="71" fillId="0" borderId="3" xfId="0" applyNumberFormat="1" applyFont="1" applyBorder="1" applyAlignment="1">
      <alignment horizontal="center" vertical="center"/>
    </xf>
    <xf numFmtId="168" fontId="71" fillId="0" borderId="3" xfId="7" applyNumberFormat="1" applyFont="1" applyFill="1" applyBorder="1" applyAlignment="1">
      <alignment horizontal="center" vertical="center"/>
    </xf>
    <xf numFmtId="44" fontId="0" fillId="0" borderId="3" xfId="7" applyFont="1" applyFill="1" applyBorder="1" applyAlignment="1">
      <alignment horizontal="center" vertical="center"/>
    </xf>
    <xf numFmtId="0" fontId="6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7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8" fontId="69" fillId="0" borderId="3" xfId="0" applyNumberFormat="1" applyFont="1" applyBorder="1" applyAlignment="1">
      <alignment vertical="center"/>
    </xf>
    <xf numFmtId="168" fontId="71" fillId="0" borderId="3" xfId="7" applyNumberFormat="1" applyFont="1" applyBorder="1" applyAlignment="1">
      <alignment horizontal="center" vertical="center"/>
    </xf>
    <xf numFmtId="168" fontId="71" fillId="0" borderId="3" xfId="0" applyNumberFormat="1" applyFont="1" applyBorder="1" applyAlignment="1">
      <alignment horizontal="center" vertical="center"/>
    </xf>
    <xf numFmtId="44" fontId="71" fillId="0" borderId="3" xfId="7" applyFont="1" applyBorder="1" applyAlignment="1">
      <alignment horizontal="center" vertical="center"/>
    </xf>
    <xf numFmtId="44" fontId="69" fillId="0" borderId="3" xfId="0" applyNumberFormat="1" applyFont="1" applyBorder="1" applyAlignment="1">
      <alignment vertical="center"/>
    </xf>
    <xf numFmtId="44" fontId="71" fillId="0" borderId="3" xfId="7" applyFont="1" applyFill="1" applyBorder="1" applyAlignment="1">
      <alignment horizontal="center" vertical="center"/>
    </xf>
    <xf numFmtId="44" fontId="71" fillId="0" borderId="3" xfId="7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4" fontId="69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44" fontId="72" fillId="6" borderId="3" xfId="7" applyFont="1" applyFill="1" applyBorder="1" applyAlignment="1">
      <alignment horizontal="center" vertical="center" wrapText="1"/>
    </xf>
    <xf numFmtId="44" fontId="72" fillId="0" borderId="3" xfId="7" applyFont="1" applyFill="1" applyBorder="1" applyAlignment="1">
      <alignment vertical="center" wrapText="1"/>
    </xf>
    <xf numFmtId="0" fontId="71" fillId="0" borderId="3" xfId="0" applyFont="1" applyBorder="1" applyAlignment="1">
      <alignment vertical="center"/>
    </xf>
    <xf numFmtId="0" fontId="75" fillId="0" borderId="3" xfId="0" applyFont="1" applyBorder="1" applyAlignment="1">
      <alignment horizontal="center" vertical="center"/>
    </xf>
    <xf numFmtId="44" fontId="71" fillId="0" borderId="3" xfId="7" applyFont="1" applyBorder="1" applyAlignment="1">
      <alignment vertical="center"/>
    </xf>
    <xf numFmtId="14" fontId="71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8" fontId="74" fillId="0" borderId="3" xfId="7" applyNumberFormat="1" applyFont="1" applyBorder="1" applyAlignment="1">
      <alignment horizontal="center" vertical="center"/>
    </xf>
    <xf numFmtId="168" fontId="74" fillId="0" borderId="3" xfId="0" applyNumberFormat="1" applyFont="1" applyBorder="1" applyAlignment="1">
      <alignment horizontal="center" vertical="center"/>
    </xf>
    <xf numFmtId="168" fontId="74" fillId="0" borderId="3" xfId="7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/>
    </xf>
    <xf numFmtId="6" fontId="71" fillId="0" borderId="3" xfId="7" applyNumberFormat="1" applyFont="1" applyBorder="1" applyAlignment="1">
      <alignment horizontal="center" vertical="center"/>
    </xf>
    <xf numFmtId="168" fontId="68" fillId="6" borderId="3" xfId="7" applyNumberFormat="1" applyFont="1" applyFill="1" applyBorder="1" applyAlignment="1">
      <alignment horizontal="center" vertical="center" wrapText="1"/>
    </xf>
    <xf numFmtId="168" fontId="72" fillId="6" borderId="3" xfId="7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1" fillId="0" borderId="26" xfId="0" applyFont="1" applyBorder="1" applyAlignment="1">
      <alignment horizontal="center" vertical="center"/>
    </xf>
    <xf numFmtId="0" fontId="69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69" fillId="0" borderId="0" xfId="0" applyNumberFormat="1" applyFont="1" applyAlignment="1">
      <alignment horizontal="center" vertical="center"/>
    </xf>
    <xf numFmtId="14" fontId="69" fillId="0" borderId="0" xfId="0" applyNumberFormat="1" applyFont="1" applyAlignment="1">
      <alignment vertical="center"/>
    </xf>
    <xf numFmtId="168" fontId="69" fillId="0" borderId="0" xfId="0" applyNumberFormat="1" applyFont="1" applyAlignment="1">
      <alignment horizontal="center" vertical="center"/>
    </xf>
    <xf numFmtId="0" fontId="74" fillId="0" borderId="0" xfId="0" applyFont="1" applyAlignment="1">
      <alignment horizontal="center" vertical="center"/>
    </xf>
    <xf numFmtId="44" fontId="71" fillId="0" borderId="0" xfId="7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44" fontId="0" fillId="0" borderId="0" xfId="7" applyFont="1" applyBorder="1" applyAlignment="1">
      <alignment vertical="center"/>
    </xf>
    <xf numFmtId="168" fontId="72" fillId="6" borderId="0" xfId="7" applyNumberFormat="1" applyFont="1" applyFill="1" applyBorder="1" applyAlignment="1">
      <alignment horizontal="center" vertical="center" wrapText="1"/>
    </xf>
    <xf numFmtId="44" fontId="69" fillId="0" borderId="0" xfId="0" applyNumberFormat="1" applyFont="1" applyAlignment="1">
      <alignment vertical="center"/>
    </xf>
    <xf numFmtId="168" fontId="68" fillId="6" borderId="0" xfId="7" applyNumberFormat="1" applyFont="1" applyFill="1" applyBorder="1" applyAlignment="1">
      <alignment horizontal="center" vertical="center" wrapText="1"/>
    </xf>
    <xf numFmtId="0" fontId="69" fillId="0" borderId="0" xfId="0" applyFont="1" applyAlignment="1">
      <alignment vertical="center"/>
    </xf>
    <xf numFmtId="0" fontId="69" fillId="0" borderId="22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164" fontId="63" fillId="5" borderId="1" xfId="0" applyNumberFormat="1" applyFont="1" applyFill="1" applyBorder="1" applyAlignment="1">
      <alignment horizontal="center"/>
    </xf>
    <xf numFmtId="0" fontId="63" fillId="5" borderId="1" xfId="0" applyFont="1" applyFill="1" applyBorder="1" applyAlignment="1">
      <alignment horizontal="center"/>
    </xf>
    <xf numFmtId="0" fontId="61" fillId="0" borderId="1" xfId="0" applyFont="1" applyBorder="1"/>
    <xf numFmtId="0" fontId="63" fillId="4" borderId="1" xfId="0" applyFont="1" applyFill="1" applyBorder="1" applyAlignment="1">
      <alignment horizontal="center"/>
    </xf>
    <xf numFmtId="49" fontId="68" fillId="6" borderId="5" xfId="0" applyNumberFormat="1" applyFont="1" applyFill="1" applyBorder="1" applyAlignment="1">
      <alignment horizontal="center" vertical="center"/>
    </xf>
    <xf numFmtId="49" fontId="68" fillId="6" borderId="6" xfId="0" applyNumberFormat="1" applyFont="1" applyFill="1" applyBorder="1" applyAlignment="1">
      <alignment horizontal="center" vertical="center"/>
    </xf>
    <xf numFmtId="0" fontId="68" fillId="3" borderId="5" xfId="0" applyFont="1" applyFill="1" applyBorder="1" applyAlignment="1">
      <alignment horizontal="center" vertical="center" wrapText="1"/>
    </xf>
    <xf numFmtId="0" fontId="68" fillId="3" borderId="6" xfId="0" applyFont="1" applyFill="1" applyBorder="1" applyAlignment="1">
      <alignment horizontal="center" vertical="center" wrapText="1"/>
    </xf>
    <xf numFmtId="0" fontId="68" fillId="6" borderId="5" xfId="0" applyFont="1" applyFill="1" applyBorder="1" applyAlignment="1">
      <alignment horizontal="center" vertical="center" wrapText="1"/>
    </xf>
    <xf numFmtId="0" fontId="68" fillId="6" borderId="6" xfId="0" applyFont="1" applyFill="1" applyBorder="1" applyAlignment="1">
      <alignment horizontal="center" vertical="center" wrapText="1"/>
    </xf>
    <xf numFmtId="0" fontId="68" fillId="6" borderId="5" xfId="0" applyFont="1" applyFill="1" applyBorder="1" applyAlignment="1">
      <alignment horizontal="center" vertical="center"/>
    </xf>
    <xf numFmtId="0" fontId="68" fillId="6" borderId="6" xfId="0" applyFont="1" applyFill="1" applyBorder="1" applyAlignment="1">
      <alignment horizontal="center" vertical="center"/>
    </xf>
    <xf numFmtId="164" fontId="68" fillId="6" borderId="3" xfId="0" applyNumberFormat="1" applyFont="1" applyFill="1" applyBorder="1" applyAlignment="1">
      <alignment horizontal="center" vertical="center"/>
    </xf>
    <xf numFmtId="164" fontId="68" fillId="6" borderId="9" xfId="0" applyNumberFormat="1" applyFont="1" applyFill="1" applyBorder="1" applyAlignment="1">
      <alignment horizontal="center" vertical="center"/>
    </xf>
    <xf numFmtId="164" fontId="68" fillId="6" borderId="10" xfId="0" applyNumberFormat="1" applyFont="1" applyFill="1" applyBorder="1" applyAlignment="1">
      <alignment horizontal="center" vertical="center"/>
    </xf>
    <xf numFmtId="0" fontId="67" fillId="7" borderId="3" xfId="0" applyFont="1" applyFill="1" applyBorder="1" applyAlignment="1">
      <alignment horizontal="center" vertical="top"/>
    </xf>
    <xf numFmtId="0" fontId="68" fillId="6" borderId="7" xfId="0" applyFont="1" applyFill="1" applyBorder="1" applyAlignment="1">
      <alignment horizontal="center" vertical="center"/>
    </xf>
    <xf numFmtId="0" fontId="68" fillId="6" borderId="8" xfId="0" applyFont="1" applyFill="1" applyBorder="1" applyAlignment="1">
      <alignment horizontal="center" vertical="center"/>
    </xf>
    <xf numFmtId="0" fontId="68" fillId="6" borderId="3" xfId="0" applyFont="1" applyFill="1" applyBorder="1" applyAlignment="1">
      <alignment horizontal="center" vertical="center"/>
    </xf>
    <xf numFmtId="167" fontId="68" fillId="6" borderId="3" xfId="0" applyNumberFormat="1" applyFont="1" applyFill="1" applyBorder="1" applyAlignment="1">
      <alignment horizontal="center" vertical="center"/>
    </xf>
    <xf numFmtId="0" fontId="67" fillId="7" borderId="5" xfId="0" applyFont="1" applyFill="1" applyBorder="1" applyAlignment="1">
      <alignment horizontal="center" vertical="top"/>
    </xf>
    <xf numFmtId="0" fontId="67" fillId="7" borderId="6" xfId="0" applyFont="1" applyFill="1" applyBorder="1" applyAlignment="1">
      <alignment horizontal="center" vertical="top"/>
    </xf>
    <xf numFmtId="164" fontId="68" fillId="6" borderId="5" xfId="0" applyNumberFormat="1" applyFont="1" applyFill="1" applyBorder="1" applyAlignment="1">
      <alignment horizontal="center" vertical="center"/>
    </xf>
    <xf numFmtId="164" fontId="68" fillId="6" borderId="6" xfId="0" applyNumberFormat="1" applyFont="1" applyFill="1" applyBorder="1" applyAlignment="1">
      <alignment horizontal="center" vertical="center"/>
    </xf>
    <xf numFmtId="167" fontId="68" fillId="6" borderId="5" xfId="0" applyNumberFormat="1" applyFont="1" applyFill="1" applyBorder="1" applyAlignment="1">
      <alignment horizontal="center" vertical="center"/>
    </xf>
    <xf numFmtId="167" fontId="68" fillId="6" borderId="6" xfId="0" applyNumberFormat="1" applyFont="1" applyFill="1" applyBorder="1" applyAlignment="1">
      <alignment horizontal="center" vertical="center"/>
    </xf>
    <xf numFmtId="14" fontId="68" fillId="6" borderId="5" xfId="0" applyNumberFormat="1" applyFont="1" applyFill="1" applyBorder="1" applyAlignment="1">
      <alignment horizontal="center" vertical="center"/>
    </xf>
    <xf numFmtId="14" fontId="68" fillId="6" borderId="6" xfId="0" applyNumberFormat="1" applyFont="1" applyFill="1" applyBorder="1" applyAlignment="1">
      <alignment horizontal="center" vertical="center"/>
    </xf>
    <xf numFmtId="49" fontId="68" fillId="6" borderId="3" xfId="0" applyNumberFormat="1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 wrapText="1"/>
    </xf>
    <xf numFmtId="0" fontId="68" fillId="6" borderId="3" xfId="0" applyFont="1" applyFill="1" applyBorder="1" applyAlignment="1">
      <alignment horizontal="center" vertical="center" wrapText="1"/>
    </xf>
    <xf numFmtId="0" fontId="68" fillId="7" borderId="3" xfId="0" applyFont="1" applyFill="1" applyBorder="1" applyAlignment="1">
      <alignment horizontal="center" vertical="center"/>
    </xf>
    <xf numFmtId="14" fontId="68" fillId="6" borderId="3" xfId="0" applyNumberFormat="1" applyFont="1" applyFill="1" applyBorder="1" applyAlignment="1">
      <alignment horizontal="center" vertical="center"/>
    </xf>
    <xf numFmtId="0" fontId="68" fillId="6" borderId="13" xfId="0" applyFont="1" applyFill="1" applyBorder="1" applyAlignment="1">
      <alignment horizontal="center" vertical="center" wrapText="1"/>
    </xf>
    <xf numFmtId="0" fontId="68" fillId="6" borderId="14" xfId="0" applyFont="1" applyFill="1" applyBorder="1" applyAlignment="1">
      <alignment horizontal="center" vertical="center" wrapText="1"/>
    </xf>
    <xf numFmtId="168" fontId="68" fillId="6" borderId="3" xfId="0" applyNumberFormat="1" applyFont="1" applyFill="1" applyBorder="1" applyAlignment="1">
      <alignment horizontal="center" vertical="center"/>
    </xf>
    <xf numFmtId="167" fontId="68" fillId="6" borderId="15" xfId="0" applyNumberFormat="1" applyFont="1" applyFill="1" applyBorder="1" applyAlignment="1">
      <alignment horizontal="center" vertical="center"/>
    </xf>
    <xf numFmtId="167" fontId="68" fillId="6" borderId="16" xfId="0" applyNumberFormat="1" applyFont="1" applyFill="1" applyBorder="1" applyAlignment="1">
      <alignment horizontal="center" vertical="center"/>
    </xf>
    <xf numFmtId="164" fontId="68" fillId="6" borderId="12" xfId="0" applyNumberFormat="1" applyFont="1" applyFill="1" applyBorder="1" applyAlignment="1">
      <alignment horizontal="center" vertical="center"/>
    </xf>
    <xf numFmtId="164" fontId="68" fillId="6" borderId="17" xfId="0" applyNumberFormat="1" applyFont="1" applyFill="1" applyBorder="1" applyAlignment="1">
      <alignment horizontal="center" vertical="center"/>
    </xf>
    <xf numFmtId="164" fontId="68" fillId="6" borderId="18" xfId="0" applyNumberFormat="1" applyFont="1" applyFill="1" applyBorder="1" applyAlignment="1">
      <alignment horizontal="center" vertical="center"/>
    </xf>
    <xf numFmtId="164" fontId="68" fillId="6" borderId="15" xfId="0" applyNumberFormat="1" applyFont="1" applyFill="1" applyBorder="1" applyAlignment="1">
      <alignment horizontal="center" vertical="center"/>
    </xf>
    <xf numFmtId="164" fontId="68" fillId="6" borderId="16" xfId="0" applyNumberFormat="1" applyFont="1" applyFill="1" applyBorder="1" applyAlignment="1">
      <alignment horizontal="center" vertical="center"/>
    </xf>
    <xf numFmtId="0" fontId="68" fillId="6" borderId="19" xfId="0" applyFont="1" applyFill="1" applyBorder="1" applyAlignment="1">
      <alignment horizontal="center" vertical="center" wrapText="1"/>
    </xf>
    <xf numFmtId="44" fontId="68" fillId="6" borderId="3" xfId="7" applyFont="1" applyFill="1" applyBorder="1" applyAlignment="1">
      <alignment horizontal="center" vertical="center" wrapText="1"/>
    </xf>
    <xf numFmtId="44" fontId="68" fillId="6" borderId="15" xfId="7" applyFont="1" applyFill="1" applyBorder="1" applyAlignment="1">
      <alignment horizontal="center" vertical="center" wrapText="1"/>
    </xf>
    <xf numFmtId="44" fontId="68" fillId="6" borderId="16" xfId="7" applyFont="1" applyFill="1" applyBorder="1" applyAlignment="1">
      <alignment horizontal="center" vertical="center" wrapText="1"/>
    </xf>
    <xf numFmtId="44" fontId="68" fillId="6" borderId="20" xfId="7" applyFont="1" applyFill="1" applyBorder="1" applyAlignment="1">
      <alignment horizontal="center" vertical="center" wrapText="1"/>
    </xf>
    <xf numFmtId="44" fontId="68" fillId="6" borderId="5" xfId="7" applyFont="1" applyFill="1" applyBorder="1" applyAlignment="1">
      <alignment horizontal="center" vertical="center" wrapText="1"/>
    </xf>
    <xf numFmtId="44" fontId="68" fillId="6" borderId="12" xfId="7" applyFont="1" applyFill="1" applyBorder="1" applyAlignment="1">
      <alignment horizontal="center" vertical="center" wrapText="1"/>
    </xf>
    <xf numFmtId="44" fontId="68" fillId="6" borderId="6" xfId="7" applyFont="1" applyFill="1" applyBorder="1" applyAlignment="1">
      <alignment horizontal="center" vertical="center" wrapText="1"/>
    </xf>
    <xf numFmtId="44" fontId="68" fillId="6" borderId="17" xfId="7" applyFont="1" applyFill="1" applyBorder="1" applyAlignment="1">
      <alignment horizontal="center" vertical="center" wrapText="1"/>
    </xf>
    <xf numFmtId="44" fontId="68" fillId="6" borderId="18" xfId="7" applyFont="1" applyFill="1" applyBorder="1" applyAlignment="1">
      <alignment horizontal="center" vertical="center" wrapText="1"/>
    </xf>
    <xf numFmtId="44" fontId="68" fillId="6" borderId="21" xfId="7" applyFont="1" applyFill="1" applyBorder="1" applyAlignment="1">
      <alignment horizontal="center" vertical="center" wrapText="1"/>
    </xf>
    <xf numFmtId="0" fontId="63" fillId="4" borderId="4" xfId="0" applyFont="1" applyFill="1" applyBorder="1" applyAlignment="1">
      <alignment horizontal="center"/>
    </xf>
    <xf numFmtId="0" fontId="63" fillId="4" borderId="7" xfId="0" applyFont="1" applyFill="1" applyBorder="1" applyAlignment="1">
      <alignment horizontal="center"/>
    </xf>
    <xf numFmtId="0" fontId="63" fillId="4" borderId="5" xfId="0" applyFont="1" applyFill="1" applyBorder="1" applyAlignment="1">
      <alignment horizontal="center"/>
    </xf>
    <xf numFmtId="0" fontId="63" fillId="5" borderId="5" xfId="0" applyFont="1" applyFill="1" applyBorder="1" applyAlignment="1">
      <alignment horizontal="center"/>
    </xf>
    <xf numFmtId="164" fontId="63" fillId="5" borderId="5" xfId="0" applyNumberFormat="1" applyFont="1" applyFill="1" applyBorder="1" applyAlignment="1">
      <alignment horizontal="center"/>
    </xf>
    <xf numFmtId="0" fontId="56" fillId="0" borderId="13" xfId="0" applyFont="1" applyBorder="1" applyAlignment="1">
      <alignment horizontal="center" vertical="center"/>
    </xf>
    <xf numFmtId="0" fontId="56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68" fillId="6" borderId="13" xfId="7" applyFont="1" applyFill="1" applyBorder="1" applyAlignment="1">
      <alignment horizontal="center" vertical="center" wrapText="1"/>
    </xf>
    <xf numFmtId="44" fontId="68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68" fillId="6" borderId="13" xfId="0" applyFont="1" applyFill="1" applyBorder="1" applyAlignment="1">
      <alignment horizontal="center" vertical="center"/>
    </xf>
    <xf numFmtId="0" fontId="68" fillId="6" borderId="19" xfId="0" applyFont="1" applyFill="1" applyBorder="1" applyAlignment="1">
      <alignment horizontal="center" vertical="center"/>
    </xf>
    <xf numFmtId="0" fontId="68" fillId="6" borderId="14" xfId="0" applyFont="1" applyFill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44" fontId="68" fillId="6" borderId="19" xfId="7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4" fontId="31" fillId="0" borderId="1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49" fontId="69" fillId="0" borderId="13" xfId="0" applyNumberFormat="1" applyFont="1" applyBorder="1" applyAlignment="1">
      <alignment horizontal="center" vertical="center"/>
    </xf>
    <xf numFmtId="49" fontId="69" fillId="0" borderId="19" xfId="0" applyNumberFormat="1" applyFont="1" applyBorder="1" applyAlignment="1">
      <alignment horizontal="center" vertical="center"/>
    </xf>
    <xf numFmtId="49" fontId="69" fillId="0" borderId="14" xfId="0" applyNumberFormat="1" applyFont="1" applyBorder="1" applyAlignment="1">
      <alignment horizontal="center" vertical="center"/>
    </xf>
    <xf numFmtId="44" fontId="69" fillId="0" borderId="13" xfId="7" applyFont="1" applyBorder="1" applyAlignment="1">
      <alignment horizontal="center" vertical="center"/>
    </xf>
    <xf numFmtId="44" fontId="69" fillId="0" borderId="19" xfId="7" applyFont="1" applyBorder="1" applyAlignment="1">
      <alignment horizontal="center" vertical="center"/>
    </xf>
    <xf numFmtId="44" fontId="69" fillId="0" borderId="14" xfId="7" applyFont="1" applyBorder="1" applyAlignment="1">
      <alignment horizontal="center" vertical="center"/>
    </xf>
    <xf numFmtId="0" fontId="69" fillId="0" borderId="13" xfId="0" applyFont="1" applyBorder="1" applyAlignment="1">
      <alignment horizontal="center" wrapText="1"/>
    </xf>
    <xf numFmtId="0" fontId="69" fillId="0" borderId="14" xfId="0" applyFont="1" applyBorder="1" applyAlignment="1">
      <alignment horizontal="center" wrapText="1"/>
    </xf>
    <xf numFmtId="0" fontId="69" fillId="0" borderId="13" xfId="0" applyFont="1" applyBorder="1" applyAlignment="1">
      <alignment horizontal="center" vertical="center"/>
    </xf>
    <xf numFmtId="0" fontId="69" fillId="0" borderId="19" xfId="0" applyFont="1" applyBorder="1" applyAlignment="1">
      <alignment horizontal="center" vertical="center"/>
    </xf>
    <xf numFmtId="0" fontId="69" fillId="0" borderId="14" xfId="0" applyFont="1" applyBorder="1" applyAlignment="1">
      <alignment horizontal="center" vertical="center"/>
    </xf>
    <xf numFmtId="0" fontId="69" fillId="0" borderId="13" xfId="0" applyFont="1" applyBorder="1" applyAlignment="1">
      <alignment horizontal="center" vertical="center" wrapText="1"/>
    </xf>
    <xf numFmtId="0" fontId="69" fillId="0" borderId="19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 vertical="center"/>
    </xf>
    <xf numFmtId="0" fontId="69" fillId="10" borderId="13" xfId="0" applyFont="1" applyFill="1" applyBorder="1" applyAlignment="1">
      <alignment horizontal="center" vertical="center"/>
    </xf>
    <xf numFmtId="0" fontId="69" fillId="10" borderId="19" xfId="0" applyFont="1" applyFill="1" applyBorder="1" applyAlignment="1">
      <alignment horizontal="center" vertical="center"/>
    </xf>
    <xf numFmtId="0" fontId="69" fillId="10" borderId="14" xfId="0" applyFont="1" applyFill="1" applyBorder="1" applyAlignment="1">
      <alignment horizontal="center" vertical="center"/>
    </xf>
    <xf numFmtId="0" fontId="31" fillId="10" borderId="13" xfId="0" applyFont="1" applyFill="1" applyBorder="1" applyAlignment="1">
      <alignment horizontal="center" vertical="center"/>
    </xf>
    <xf numFmtId="0" fontId="31" fillId="10" borderId="14" xfId="0" applyFont="1" applyFill="1" applyBorder="1" applyAlignment="1">
      <alignment horizontal="center" vertical="center"/>
    </xf>
    <xf numFmtId="0" fontId="69" fillId="10" borderId="3" xfId="0" applyFont="1" applyFill="1" applyBorder="1" applyAlignment="1">
      <alignment horizontal="center" vertical="center"/>
    </xf>
    <xf numFmtId="0" fontId="13" fillId="10" borderId="13" xfId="0" applyFont="1" applyFill="1" applyBorder="1" applyAlignment="1">
      <alignment horizontal="center" vertical="center" wrapText="1"/>
    </xf>
    <xf numFmtId="0" fontId="13" fillId="10" borderId="19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 wrapText="1"/>
    </xf>
    <xf numFmtId="0" fontId="31" fillId="10" borderId="19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0" fontId="14" fillId="10" borderId="14" xfId="0" applyFont="1" applyFill="1" applyBorder="1" applyAlignment="1">
      <alignment horizontal="center" vertical="center"/>
    </xf>
    <xf numFmtId="0" fontId="68" fillId="12" borderId="13" xfId="0" applyFont="1" applyFill="1" applyBorder="1" applyAlignment="1">
      <alignment horizontal="center" vertical="center"/>
    </xf>
    <xf numFmtId="0" fontId="68" fillId="12" borderId="14" xfId="0" applyFont="1" applyFill="1" applyBorder="1" applyAlignment="1">
      <alignment horizontal="center" vertical="center"/>
    </xf>
    <xf numFmtId="0" fontId="13" fillId="10" borderId="13" xfId="0" applyFont="1" applyFill="1" applyBorder="1" applyAlignment="1">
      <alignment horizontal="center" vertical="center"/>
    </xf>
    <xf numFmtId="164" fontId="63" fillId="5" borderId="1" xfId="0" applyNumberFormat="1" applyFont="1" applyFill="1" applyBorder="1" applyAlignment="1">
      <alignment horizontal="center" vertical="center"/>
    </xf>
    <xf numFmtId="0" fontId="63" fillId="5" borderId="1" xfId="0" applyFont="1" applyFill="1" applyBorder="1" applyAlignment="1">
      <alignment horizontal="center" vertical="center"/>
    </xf>
    <xf numFmtId="0" fontId="63" fillId="5" borderId="5" xfId="0" applyFont="1" applyFill="1" applyBorder="1" applyAlignment="1">
      <alignment horizontal="center" vertical="center"/>
    </xf>
    <xf numFmtId="0" fontId="56" fillId="10" borderId="13" xfId="0" applyFont="1" applyFill="1" applyBorder="1" applyAlignment="1">
      <alignment horizontal="center" vertical="center"/>
    </xf>
    <xf numFmtId="0" fontId="56" fillId="10" borderId="14" xfId="0" applyFont="1" applyFill="1" applyBorder="1" applyAlignment="1">
      <alignment horizontal="center" vertical="center"/>
    </xf>
    <xf numFmtId="0" fontId="70" fillId="5" borderId="17" xfId="0" applyFont="1" applyFill="1" applyBorder="1" applyAlignment="1">
      <alignment horizontal="center" vertical="center"/>
    </xf>
    <xf numFmtId="0" fontId="70" fillId="5" borderId="24" xfId="0" applyFont="1" applyFill="1" applyBorder="1" applyAlignment="1">
      <alignment horizontal="center" vertical="center"/>
    </xf>
    <xf numFmtId="164" fontId="63" fillId="5" borderId="5" xfId="0" applyNumberFormat="1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5" borderId="13" xfId="0" applyFont="1" applyFill="1" applyBorder="1" applyAlignment="1">
      <alignment horizontal="center" vertical="center"/>
    </xf>
    <xf numFmtId="168" fontId="70" fillId="5" borderId="2" xfId="0" applyNumberFormat="1" applyFont="1" applyFill="1" applyBorder="1" applyAlignment="1">
      <alignment horizontal="center" vertical="center"/>
    </xf>
    <xf numFmtId="168" fontId="70" fillId="5" borderId="23" xfId="0" applyNumberFormat="1" applyFont="1" applyFill="1" applyBorder="1" applyAlignment="1">
      <alignment horizontal="center" vertical="center"/>
    </xf>
    <xf numFmtId="168" fontId="70" fillId="5" borderId="1" xfId="0" applyNumberFormat="1" applyFont="1" applyFill="1" applyBorder="1" applyAlignment="1">
      <alignment horizontal="center" vertical="center"/>
    </xf>
    <xf numFmtId="168" fontId="70" fillId="5" borderId="5" xfId="0" applyNumberFormat="1" applyFont="1" applyFill="1" applyBorder="1" applyAlignment="1">
      <alignment horizontal="center" vertical="center"/>
    </xf>
    <xf numFmtId="164" fontId="70" fillId="5" borderId="1" xfId="0" applyNumberFormat="1" applyFont="1" applyFill="1" applyBorder="1" applyAlignment="1">
      <alignment horizontal="center" vertical="center"/>
    </xf>
    <xf numFmtId="164" fontId="70" fillId="5" borderId="5" xfId="0" applyNumberFormat="1" applyFont="1" applyFill="1" applyBorder="1" applyAlignment="1">
      <alignment horizontal="center" vertical="center"/>
    </xf>
    <xf numFmtId="0" fontId="70" fillId="4" borderId="1" xfId="0" applyFont="1" applyFill="1" applyBorder="1" applyAlignment="1">
      <alignment horizontal="center"/>
    </xf>
    <xf numFmtId="0" fontId="70" fillId="4" borderId="4" xfId="0" applyFont="1" applyFill="1" applyBorder="1" applyAlignment="1">
      <alignment horizontal="center"/>
    </xf>
    <xf numFmtId="0" fontId="70" fillId="4" borderId="7" xfId="0" applyFont="1" applyFill="1" applyBorder="1" applyAlignment="1">
      <alignment horizontal="center"/>
    </xf>
    <xf numFmtId="0" fontId="70" fillId="5" borderId="1" xfId="0" applyFont="1" applyFill="1" applyBorder="1" applyAlignment="1">
      <alignment horizontal="center" vertical="center"/>
    </xf>
    <xf numFmtId="0" fontId="70" fillId="5" borderId="5" xfId="0" applyFont="1" applyFill="1" applyBorder="1" applyAlignment="1">
      <alignment horizontal="center" vertical="center"/>
    </xf>
    <xf numFmtId="0" fontId="70" fillId="5" borderId="1" xfId="0" applyFont="1" applyFill="1" applyBorder="1" applyAlignment="1">
      <alignment horizontal="center" vertical="center" wrapText="1"/>
    </xf>
    <xf numFmtId="0" fontId="70" fillId="5" borderId="5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68" fontId="71" fillId="0" borderId="13" xfId="7" applyNumberFormat="1" applyFont="1" applyFill="1" applyBorder="1" applyAlignment="1">
      <alignment horizontal="center" vertical="center"/>
    </xf>
    <xf numFmtId="168" fontId="71" fillId="0" borderId="14" xfId="7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68" fillId="0" borderId="13" xfId="0" applyFont="1" applyBorder="1" applyAlignment="1">
      <alignment horizontal="center" vertical="center"/>
    </xf>
    <xf numFmtId="0" fontId="68" fillId="0" borderId="14" xfId="0" applyFont="1" applyBorder="1" applyAlignment="1">
      <alignment horizontal="center" vertical="center"/>
    </xf>
    <xf numFmtId="0" fontId="71" fillId="0" borderId="13" xfId="0" applyFont="1" applyBorder="1" applyAlignment="1">
      <alignment horizontal="center" vertical="center" wrapText="1"/>
    </xf>
    <xf numFmtId="0" fontId="71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69" fillId="6" borderId="13" xfId="0" applyFont="1" applyFill="1" applyBorder="1" applyAlignment="1">
      <alignment horizontal="center" vertical="center" wrapText="1"/>
    </xf>
    <xf numFmtId="0" fontId="69" fillId="6" borderId="14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42917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43252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43282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340" t="s">
        <v>279</v>
      </c>
      <c r="B22" s="340" t="s">
        <v>279</v>
      </c>
      <c r="C22" s="342" t="s">
        <v>75</v>
      </c>
      <c r="D22" s="336" t="s">
        <v>104</v>
      </c>
      <c r="E22" s="338" t="s">
        <v>88</v>
      </c>
      <c r="F22" s="340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48">
        <v>0</v>
      </c>
      <c r="R22" s="344">
        <v>0</v>
      </c>
      <c r="S22" s="350">
        <v>0</v>
      </c>
      <c r="T22" s="344">
        <v>0</v>
      </c>
      <c r="U22" s="351">
        <f t="shared" si="1"/>
        <v>0</v>
      </c>
      <c r="V22" s="344">
        <f>P22+P23</f>
        <v>1406.06</v>
      </c>
      <c r="W22" s="345">
        <f t="shared" si="3"/>
        <v>1406.06</v>
      </c>
      <c r="X22" s="347"/>
    </row>
    <row r="23" spans="1:24" ht="38.25" customHeight="1" x14ac:dyDescent="0.2">
      <c r="A23" s="341"/>
      <c r="B23" s="341"/>
      <c r="C23" s="343"/>
      <c r="D23" s="337"/>
      <c r="E23" s="339"/>
      <c r="F23" s="341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49"/>
      <c r="R23" s="344"/>
      <c r="S23" s="350"/>
      <c r="T23" s="344"/>
      <c r="U23" s="351"/>
      <c r="V23" s="344"/>
      <c r="W23" s="346"/>
      <c r="X23" s="347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43313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43344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340" t="s">
        <v>250</v>
      </c>
      <c r="B16" s="340" t="s">
        <v>250</v>
      </c>
      <c r="C16" s="342" t="s">
        <v>319</v>
      </c>
      <c r="D16" s="336" t="s">
        <v>324</v>
      </c>
      <c r="E16" s="338" t="s">
        <v>87</v>
      </c>
      <c r="F16" s="340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58">
        <v>43356</v>
      </c>
      <c r="M16" s="358">
        <v>43357</v>
      </c>
      <c r="N16" s="31">
        <f>1465.14/2</f>
        <v>732.57</v>
      </c>
      <c r="O16" s="31"/>
      <c r="P16" s="354">
        <f>N16+O17</f>
        <v>1465.14</v>
      </c>
      <c r="Q16" s="342">
        <v>2</v>
      </c>
      <c r="R16" s="354">
        <v>120</v>
      </c>
      <c r="S16" s="342">
        <v>0</v>
      </c>
      <c r="T16" s="354">
        <v>0</v>
      </c>
      <c r="U16" s="356">
        <f t="shared" si="1"/>
        <v>240</v>
      </c>
      <c r="V16" s="354">
        <f t="shared" si="2"/>
        <v>1705.14</v>
      </c>
      <c r="W16" s="354">
        <f t="shared" si="3"/>
        <v>1705.14</v>
      </c>
      <c r="X16" s="352"/>
    </row>
    <row r="17" spans="1:24" ht="14.25" x14ac:dyDescent="0.2">
      <c r="A17" s="341"/>
      <c r="B17" s="341"/>
      <c r="C17" s="343"/>
      <c r="D17" s="337"/>
      <c r="E17" s="339"/>
      <c r="F17" s="341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59"/>
      <c r="M17" s="359"/>
      <c r="N17" s="31"/>
      <c r="O17" s="31">
        <f>1465.14/2</f>
        <v>732.57</v>
      </c>
      <c r="P17" s="355"/>
      <c r="Q17" s="343"/>
      <c r="R17" s="355"/>
      <c r="S17" s="343"/>
      <c r="T17" s="355"/>
      <c r="U17" s="357"/>
      <c r="V17" s="355"/>
      <c r="W17" s="355"/>
      <c r="X17" s="353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43374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43405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 x14ac:dyDescent="0.2">
      <c r="A21" s="365" t="s">
        <v>372</v>
      </c>
      <c r="B21" s="365" t="s">
        <v>372</v>
      </c>
      <c r="C21" s="350" t="s">
        <v>75</v>
      </c>
      <c r="D21" s="360" t="s">
        <v>74</v>
      </c>
      <c r="E21" s="361" t="s">
        <v>88</v>
      </c>
      <c r="F21" s="362" t="s">
        <v>374</v>
      </c>
      <c r="G21" s="363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364">
        <v>43433</v>
      </c>
      <c r="M21" s="364">
        <v>43434</v>
      </c>
      <c r="N21" s="373">
        <f>1395.23/2</f>
        <v>697.61500000000001</v>
      </c>
      <c r="O21" s="371">
        <f>1395.23/2</f>
        <v>697.61500000000001</v>
      </c>
      <c r="P21" s="367">
        <f t="shared" si="0"/>
        <v>697.61500000000001</v>
      </c>
      <c r="Q21" s="350">
        <v>0</v>
      </c>
      <c r="R21" s="367">
        <v>0</v>
      </c>
      <c r="S21" s="350">
        <v>0</v>
      </c>
      <c r="T21" s="367">
        <v>0</v>
      </c>
      <c r="U21" s="368">
        <f t="shared" si="1"/>
        <v>0</v>
      </c>
      <c r="V21" s="354">
        <f t="shared" si="2"/>
        <v>697.61500000000001</v>
      </c>
      <c r="W21" s="371">
        <f t="shared" si="3"/>
        <v>697.61500000000001</v>
      </c>
      <c r="X21" s="364"/>
    </row>
    <row r="22" spans="1:24" ht="26.25" customHeight="1" x14ac:dyDescent="0.2">
      <c r="A22" s="366"/>
      <c r="B22" s="366"/>
      <c r="C22" s="350"/>
      <c r="D22" s="360"/>
      <c r="E22" s="361"/>
      <c r="F22" s="362"/>
      <c r="G22" s="363"/>
      <c r="H22" s="47" t="s">
        <v>38</v>
      </c>
      <c r="I22" s="45" t="s">
        <v>39</v>
      </c>
      <c r="J22" s="47" t="s">
        <v>111</v>
      </c>
      <c r="K22" s="45" t="s">
        <v>112</v>
      </c>
      <c r="L22" s="364"/>
      <c r="M22" s="364"/>
      <c r="N22" s="374"/>
      <c r="O22" s="372"/>
      <c r="P22" s="367">
        <f t="shared" si="0"/>
        <v>0</v>
      </c>
      <c r="Q22" s="350"/>
      <c r="R22" s="367"/>
      <c r="S22" s="350"/>
      <c r="T22" s="367"/>
      <c r="U22" s="369"/>
      <c r="V22" s="370"/>
      <c r="W22" s="372"/>
      <c r="X22" s="364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43435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43466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43497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43525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42948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43556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5" sqref="D5:E6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43586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D5" sqref="D5:E6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43617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 x14ac:dyDescent="0.2">
      <c r="A21" s="365" t="s">
        <v>250</v>
      </c>
      <c r="B21" s="365" t="s">
        <v>250</v>
      </c>
      <c r="C21" s="362" t="s">
        <v>319</v>
      </c>
      <c r="D21" s="360"/>
      <c r="E21" s="361"/>
      <c r="F21" s="362" t="s">
        <v>458</v>
      </c>
      <c r="G21" s="362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376">
        <f>3129.35/2</f>
        <v>1564.675</v>
      </c>
      <c r="O21" s="376">
        <f>3129.35/2</f>
        <v>1564.675</v>
      </c>
      <c r="P21" s="376">
        <v>1925.28</v>
      </c>
      <c r="Q21" s="362">
        <v>2</v>
      </c>
      <c r="R21" s="376">
        <v>120</v>
      </c>
      <c r="S21" s="376">
        <v>0</v>
      </c>
      <c r="T21" s="376">
        <v>0</v>
      </c>
      <c r="U21" s="377">
        <f t="shared" ref="U21" si="4">(Q21*R21)+(S21*T21)</f>
        <v>240</v>
      </c>
      <c r="V21" s="380">
        <f t="shared" ref="V21" si="5">U21+P21</f>
        <v>2165.2799999999997</v>
      </c>
      <c r="W21" s="383">
        <f t="shared" si="3"/>
        <v>2165.2799999999997</v>
      </c>
      <c r="X21" s="376"/>
    </row>
    <row r="22" spans="1:24" ht="14.25" x14ac:dyDescent="0.2">
      <c r="A22" s="375"/>
      <c r="B22" s="375"/>
      <c r="C22" s="362"/>
      <c r="D22" s="360"/>
      <c r="E22" s="361"/>
      <c r="F22" s="362"/>
      <c r="G22" s="362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376"/>
      <c r="O22" s="376"/>
      <c r="P22" s="376"/>
      <c r="Q22" s="362"/>
      <c r="R22" s="376"/>
      <c r="S22" s="376"/>
      <c r="T22" s="376"/>
      <c r="U22" s="378"/>
      <c r="V22" s="381"/>
      <c r="W22" s="384"/>
      <c r="X22" s="376"/>
    </row>
    <row r="23" spans="1:24" ht="15" customHeight="1" x14ac:dyDescent="0.2">
      <c r="A23" s="366"/>
      <c r="B23" s="366"/>
      <c r="C23" s="362"/>
      <c r="D23" s="360"/>
      <c r="E23" s="361"/>
      <c r="F23" s="362"/>
      <c r="G23" s="362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376"/>
      <c r="O23" s="376"/>
      <c r="P23" s="376"/>
      <c r="Q23" s="362"/>
      <c r="R23" s="376"/>
      <c r="S23" s="376"/>
      <c r="T23" s="376"/>
      <c r="U23" s="379"/>
      <c r="V23" s="382"/>
      <c r="W23" s="385"/>
      <c r="X23" s="376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D5" sqref="D5:E6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72">
        <v>43586</v>
      </c>
    </row>
    <row r="6" spans="1:47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47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86" t="s">
        <v>9</v>
      </c>
    </row>
    <row r="8" spans="1:47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8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8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 x14ac:dyDescent="0.2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 x14ac:dyDescent="0.2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 x14ac:dyDescent="0.2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 x14ac:dyDescent="0.2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 x14ac:dyDescent="0.2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 x14ac:dyDescent="0.2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 x14ac:dyDescent="0.2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 x14ac:dyDescent="0.2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2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 x14ac:dyDescent="0.2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 x14ac:dyDescent="0.2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 x14ac:dyDescent="0.2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 x14ac:dyDescent="0.2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 x14ac:dyDescent="0.2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 x14ac:dyDescent="0.2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2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 x14ac:dyDescent="0.2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 x14ac:dyDescent="0.2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 x14ac:dyDescent="0.2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 x14ac:dyDescent="0.2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 x14ac:dyDescent="0.2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 x14ac:dyDescent="0.2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 x14ac:dyDescent="0.2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 x14ac:dyDescent="0.2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 x14ac:dyDescent="0.2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 x14ac:dyDescent="0.2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 x14ac:dyDescent="0.2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 x14ac:dyDescent="0.2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5" sqref="D5:E6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72">
        <v>43586</v>
      </c>
    </row>
    <row r="6" spans="1:47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47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86" t="s">
        <v>9</v>
      </c>
    </row>
    <row r="8" spans="1:47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8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8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 x14ac:dyDescent="0.2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 x14ac:dyDescent="0.2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 x14ac:dyDescent="0.2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 x14ac:dyDescent="0.2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 x14ac:dyDescent="0.2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 x14ac:dyDescent="0.2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 x14ac:dyDescent="0.2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 x14ac:dyDescent="0.2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 x14ac:dyDescent="0.2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 x14ac:dyDescent="0.2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 x14ac:dyDescent="0.2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 x14ac:dyDescent="0.2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 x14ac:dyDescent="0.2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 x14ac:dyDescent="0.2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2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x14ac:dyDescent="0.2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x14ac:dyDescent="0.2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x14ac:dyDescent="0.2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x14ac:dyDescent="0.2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x14ac:dyDescent="0.2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x14ac:dyDescent="0.2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x14ac:dyDescent="0.2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x14ac:dyDescent="0.2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x14ac:dyDescent="0.2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x14ac:dyDescent="0.2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x14ac:dyDescent="0.2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x14ac:dyDescent="0.2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D5" sqref="D5:E6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72">
        <v>43586</v>
      </c>
    </row>
    <row r="6" spans="1:47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47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86" t="s">
        <v>9</v>
      </c>
    </row>
    <row r="8" spans="1:47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8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8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 x14ac:dyDescent="0.2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 x14ac:dyDescent="0.2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 x14ac:dyDescent="0.2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 x14ac:dyDescent="0.2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 x14ac:dyDescent="0.2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 x14ac:dyDescent="0.2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 x14ac:dyDescent="0.2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 x14ac:dyDescent="0.2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 x14ac:dyDescent="0.2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 x14ac:dyDescent="0.2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 x14ac:dyDescent="0.2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 x14ac:dyDescent="0.2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 x14ac:dyDescent="0.2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 x14ac:dyDescent="0.2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 x14ac:dyDescent="0.2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 x14ac:dyDescent="0.2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 x14ac:dyDescent="0.2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 x14ac:dyDescent="0.2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 x14ac:dyDescent="0.2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 x14ac:dyDescent="0.2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 x14ac:dyDescent="0.2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 x14ac:dyDescent="0.2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x14ac:dyDescent="0.2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x14ac:dyDescent="0.2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x14ac:dyDescent="0.2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x14ac:dyDescent="0.2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x14ac:dyDescent="0.2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5" sqref="D5:E6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72">
        <v>43586</v>
      </c>
    </row>
    <row r="6" spans="1:46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46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86" t="s">
        <v>9</v>
      </c>
    </row>
    <row r="8" spans="1:46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8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8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 x14ac:dyDescent="0.2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 x14ac:dyDescent="0.2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 x14ac:dyDescent="0.2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x14ac:dyDescent="0.2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 x14ac:dyDescent="0.2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 x14ac:dyDescent="0.2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2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 x14ac:dyDescent="0.2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 x14ac:dyDescent="0.2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x14ac:dyDescent="0.2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 x14ac:dyDescent="0.2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 x14ac:dyDescent="0.2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 x14ac:dyDescent="0.2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 x14ac:dyDescent="0.2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x14ac:dyDescent="0.2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 x14ac:dyDescent="0.2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D5" sqref="D5:E6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72">
        <v>43586</v>
      </c>
    </row>
    <row r="6" spans="1:46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46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86" t="s">
        <v>9</v>
      </c>
    </row>
    <row r="8" spans="1:46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8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8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x14ac:dyDescent="0.2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x14ac:dyDescent="0.2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 x14ac:dyDescent="0.2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 x14ac:dyDescent="0.2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 x14ac:dyDescent="0.2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D5" sqref="D5:E6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72">
        <v>43586</v>
      </c>
    </row>
    <row r="6" spans="1:46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46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86" t="s">
        <v>9</v>
      </c>
    </row>
    <row r="8" spans="1:46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8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8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 x14ac:dyDescent="0.2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 x14ac:dyDescent="0.2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15" x14ac:dyDescent="0.2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 x14ac:dyDescent="0.2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 x14ac:dyDescent="0.2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.5" x14ac:dyDescent="0.2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8.25" x14ac:dyDescent="0.2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8.25" x14ac:dyDescent="0.2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.5" x14ac:dyDescent="0.2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.5" x14ac:dyDescent="0.2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2">
      <c r="Q18" s="93"/>
    </row>
    <row r="19" spans="3:17" x14ac:dyDescent="0.2">
      <c r="Q19" s="93"/>
    </row>
    <row r="20" spans="3:17" x14ac:dyDescent="0.2">
      <c r="Q20" s="93"/>
    </row>
    <row r="21" spans="3:17" x14ac:dyDescent="0.2">
      <c r="Q21" s="93"/>
    </row>
    <row r="23" spans="3:17" ht="25.5" x14ac:dyDescent="0.2">
      <c r="C23" s="29"/>
      <c r="D23" s="20" t="s">
        <v>561</v>
      </c>
    </row>
    <row r="24" spans="3:17" ht="51" x14ac:dyDescent="0.2">
      <c r="C24" s="87"/>
      <c r="D24" s="88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42979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25.5" x14ac:dyDescent="0.2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8.25" x14ac:dyDescent="0.2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8.25" x14ac:dyDescent="0.2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  <row r="16" spans="1:24" x14ac:dyDescent="0.2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51" x14ac:dyDescent="0.2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 x14ac:dyDescent="0.2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25.5" x14ac:dyDescent="0.2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43009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33"/>
      <c r="B4" s="333"/>
      <c r="C4" s="333"/>
      <c r="D4" s="333"/>
      <c r="E4" s="333"/>
      <c r="F4" s="333"/>
      <c r="G4" s="333"/>
      <c r="H4" s="10" t="s">
        <v>27</v>
      </c>
      <c r="I4" s="10" t="s">
        <v>28</v>
      </c>
      <c r="J4" s="10" t="s">
        <v>27</v>
      </c>
      <c r="K4" s="11" t="s">
        <v>29</v>
      </c>
      <c r="L4" s="333"/>
      <c r="M4" s="333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3"/>
      <c r="V4" s="332"/>
      <c r="W4" s="335"/>
      <c r="X4" s="387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x14ac:dyDescent="0.2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2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2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  <row r="16" spans="1:24" x14ac:dyDescent="0.2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 x14ac:dyDescent="0.2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 x14ac:dyDescent="0.2">
      <c r="A7" s="391" t="s">
        <v>250</v>
      </c>
      <c r="B7" s="391" t="s">
        <v>258</v>
      </c>
      <c r="C7" s="391" t="s">
        <v>183</v>
      </c>
      <c r="D7" s="391">
        <v>119</v>
      </c>
      <c r="E7" s="393" t="s">
        <v>591</v>
      </c>
      <c r="F7" s="391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396">
        <v>0</v>
      </c>
      <c r="O7" s="396">
        <v>0</v>
      </c>
      <c r="P7" s="394">
        <f t="shared" si="0"/>
        <v>0</v>
      </c>
      <c r="Q7" s="397">
        <v>5</v>
      </c>
      <c r="R7" s="399">
        <v>120</v>
      </c>
      <c r="S7" s="397">
        <v>0</v>
      </c>
      <c r="T7" s="399">
        <v>0</v>
      </c>
      <c r="U7" s="394">
        <f t="shared" si="1"/>
        <v>600</v>
      </c>
      <c r="V7" s="394">
        <f t="shared" si="2"/>
        <v>600</v>
      </c>
      <c r="W7" s="394">
        <f t="shared" si="3"/>
        <v>600</v>
      </c>
      <c r="X7" s="397"/>
    </row>
    <row r="8" spans="1:24" ht="15" x14ac:dyDescent="0.2">
      <c r="A8" s="392"/>
      <c r="B8" s="392"/>
      <c r="C8" s="392"/>
      <c r="D8" s="392"/>
      <c r="E8" s="393"/>
      <c r="F8" s="392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396"/>
      <c r="O8" s="396"/>
      <c r="P8" s="395"/>
      <c r="Q8" s="398"/>
      <c r="R8" s="400"/>
      <c r="S8" s="398"/>
      <c r="T8" s="400"/>
      <c r="U8" s="395"/>
      <c r="V8" s="395"/>
      <c r="W8" s="395"/>
      <c r="X8" s="398"/>
    </row>
    <row r="9" spans="1:24" ht="15" x14ac:dyDescent="0.2">
      <c r="A9" s="391" t="s">
        <v>250</v>
      </c>
      <c r="B9" s="391" t="s">
        <v>212</v>
      </c>
      <c r="C9" s="401" t="s">
        <v>270</v>
      </c>
      <c r="D9" s="391">
        <v>158</v>
      </c>
      <c r="E9" s="393" t="s">
        <v>592</v>
      </c>
      <c r="F9" s="401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396">
        <v>0</v>
      </c>
      <c r="O9" s="396">
        <v>0</v>
      </c>
      <c r="P9" s="394">
        <f t="shared" ref="P9" si="4">SUM(N9:O9)</f>
        <v>0</v>
      </c>
      <c r="Q9" s="397">
        <v>5</v>
      </c>
      <c r="R9" s="399">
        <v>120</v>
      </c>
      <c r="S9" s="397">
        <v>0</v>
      </c>
      <c r="T9" s="399">
        <v>0</v>
      </c>
      <c r="U9" s="394">
        <f t="shared" ref="U9" si="5">(Q9*R9)+(S9*T9)</f>
        <v>600</v>
      </c>
      <c r="V9" s="394">
        <f t="shared" ref="V9" si="6">U9+P9</f>
        <v>600</v>
      </c>
      <c r="W9" s="394">
        <f t="shared" ref="W9" si="7">V9</f>
        <v>600</v>
      </c>
      <c r="X9" s="397"/>
    </row>
    <row r="10" spans="1:24" ht="15" x14ac:dyDescent="0.2">
      <c r="A10" s="392"/>
      <c r="B10" s="392"/>
      <c r="C10" s="392"/>
      <c r="D10" s="392"/>
      <c r="E10" s="393"/>
      <c r="F10" s="392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396"/>
      <c r="O10" s="396"/>
      <c r="P10" s="395"/>
      <c r="Q10" s="398"/>
      <c r="R10" s="400"/>
      <c r="S10" s="398"/>
      <c r="T10" s="400"/>
      <c r="U10" s="395"/>
      <c r="V10" s="395"/>
      <c r="W10" s="395"/>
      <c r="X10" s="398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 x14ac:dyDescent="0.2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 x14ac:dyDescent="0.2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 x14ac:dyDescent="0.2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 x14ac:dyDescent="0.2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 x14ac:dyDescent="0.2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 x14ac:dyDescent="0.2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 x14ac:dyDescent="0.2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 x14ac:dyDescent="0.2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 x14ac:dyDescent="0.2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 x14ac:dyDescent="0.2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 x14ac:dyDescent="0.2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 x14ac:dyDescent="0.2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 x14ac:dyDescent="0.2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 x14ac:dyDescent="0.2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 x14ac:dyDescent="0.2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2">
      <c r="Q9" s="9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5" sqref="D5:E6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 x14ac:dyDescent="0.2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 x14ac:dyDescent="0.2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 x14ac:dyDescent="0.2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 x14ac:dyDescent="0.2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 x14ac:dyDescent="0.2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 x14ac:dyDescent="0.2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 x14ac:dyDescent="0.2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 x14ac:dyDescent="0.2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 x14ac:dyDescent="0.2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 x14ac:dyDescent="0.2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 x14ac:dyDescent="0.2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 x14ac:dyDescent="0.2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 x14ac:dyDescent="0.2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 x14ac:dyDescent="0.2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 x14ac:dyDescent="0.2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 x14ac:dyDescent="0.2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 x14ac:dyDescent="0.2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 x14ac:dyDescent="0.2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 x14ac:dyDescent="0.2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 x14ac:dyDescent="0.2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 x14ac:dyDescent="0.2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 x14ac:dyDescent="0.2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 x14ac:dyDescent="0.2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43009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5" sqref="D5:E6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 x14ac:dyDescent="0.2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 x14ac:dyDescent="0.2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 x14ac:dyDescent="0.2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 x14ac:dyDescent="0.2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 x14ac:dyDescent="0.2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 x14ac:dyDescent="0.2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42.75" x14ac:dyDescent="0.2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2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2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2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 x14ac:dyDescent="0.2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 x14ac:dyDescent="0.2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 x14ac:dyDescent="0.2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 x14ac:dyDescent="0.2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 x14ac:dyDescent="0.2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 x14ac:dyDescent="0.2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 x14ac:dyDescent="0.2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 x14ac:dyDescent="0.2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 x14ac:dyDescent="0.2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 x14ac:dyDescent="0.2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 x14ac:dyDescent="0.2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 x14ac:dyDescent="0.2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 x14ac:dyDescent="0.2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 x14ac:dyDescent="0.2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 x14ac:dyDescent="0.2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 x14ac:dyDescent="0.2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 x14ac:dyDescent="0.2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 x14ac:dyDescent="0.2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 x14ac:dyDescent="0.2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 x14ac:dyDescent="0.2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 x14ac:dyDescent="0.2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 x14ac:dyDescent="0.2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 x14ac:dyDescent="0.2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 x14ac:dyDescent="0.2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 x14ac:dyDescent="0.2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 x14ac:dyDescent="0.2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 x14ac:dyDescent="0.2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 x14ac:dyDescent="0.2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 x14ac:dyDescent="0.2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 x14ac:dyDescent="0.2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 x14ac:dyDescent="0.2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 x14ac:dyDescent="0.2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ht="15" x14ac:dyDescent="0.2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 x14ac:dyDescent="0.2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5" x14ac:dyDescent="0.2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5" x14ac:dyDescent="0.2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.5" x14ac:dyDescent="0.2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5" x14ac:dyDescent="0.2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5" x14ac:dyDescent="0.2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5" x14ac:dyDescent="0.2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5" x14ac:dyDescent="0.2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43009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5" x14ac:dyDescent="0.2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5" x14ac:dyDescent="0.2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5" x14ac:dyDescent="0.2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5" x14ac:dyDescent="0.2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5" x14ac:dyDescent="0.2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5" x14ac:dyDescent="0.2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5" x14ac:dyDescent="0.2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5" x14ac:dyDescent="0.2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5" x14ac:dyDescent="0.2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5" x14ac:dyDescent="0.2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5" x14ac:dyDescent="0.2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5" x14ac:dyDescent="0.2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5" x14ac:dyDescent="0.2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5" x14ac:dyDescent="0.2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5" x14ac:dyDescent="0.2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5" x14ac:dyDescent="0.2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5" x14ac:dyDescent="0.2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5" x14ac:dyDescent="0.2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5" x14ac:dyDescent="0.2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5" x14ac:dyDescent="0.2">
      <c r="A10" s="404" t="s">
        <v>372</v>
      </c>
      <c r="B10" s="404" t="s">
        <v>238</v>
      </c>
      <c r="C10" s="404" t="s">
        <v>135</v>
      </c>
      <c r="D10" s="350">
        <v>230</v>
      </c>
      <c r="E10" s="407" t="s">
        <v>152</v>
      </c>
      <c r="F10" s="404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402">
        <v>45011</v>
      </c>
      <c r="M10" s="402">
        <v>45013</v>
      </c>
      <c r="N10" s="399">
        <f>3156.22/2</f>
        <v>1578.11</v>
      </c>
      <c r="O10" s="399">
        <f>3156.22/2</f>
        <v>1578.11</v>
      </c>
      <c r="P10" s="399">
        <f t="shared" si="1"/>
        <v>3156.22</v>
      </c>
      <c r="Q10" s="397">
        <v>7</v>
      </c>
      <c r="R10" s="399">
        <v>120</v>
      </c>
      <c r="S10" s="397">
        <v>0</v>
      </c>
      <c r="T10" s="399">
        <v>0</v>
      </c>
      <c r="U10" s="394">
        <f t="shared" si="2"/>
        <v>840</v>
      </c>
      <c r="V10" s="394">
        <f>P10+U10</f>
        <v>3996.22</v>
      </c>
      <c r="W10" s="394">
        <f>V10</f>
        <v>3996.22</v>
      </c>
      <c r="X10" s="408"/>
    </row>
    <row r="11" spans="1:24" s="119" customFormat="1" ht="15" x14ac:dyDescent="0.2">
      <c r="A11" s="405"/>
      <c r="B11" s="405"/>
      <c r="C11" s="405"/>
      <c r="D11" s="350"/>
      <c r="E11" s="407"/>
      <c r="F11" s="406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403"/>
      <c r="M11" s="403"/>
      <c r="N11" s="400"/>
      <c r="O11" s="400"/>
      <c r="P11" s="400"/>
      <c r="Q11" s="398"/>
      <c r="R11" s="400"/>
      <c r="S11" s="398"/>
      <c r="T11" s="400"/>
      <c r="U11" s="395"/>
      <c r="V11" s="395"/>
      <c r="W11" s="395"/>
      <c r="X11" s="406"/>
    </row>
  </sheetData>
  <mergeCells count="45">
    <mergeCell ref="X10:X11"/>
    <mergeCell ref="R10:R11"/>
    <mergeCell ref="S10:S11"/>
    <mergeCell ref="T10:T11"/>
    <mergeCell ref="U10:U11"/>
    <mergeCell ref="V10:V11"/>
    <mergeCell ref="W10:W11"/>
    <mergeCell ref="C10:C11"/>
    <mergeCell ref="A10:A11"/>
    <mergeCell ref="B10:B11"/>
    <mergeCell ref="D10:D11"/>
    <mergeCell ref="L10:L11"/>
    <mergeCell ref="F10:F11"/>
    <mergeCell ref="E10:E11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J3:K3"/>
    <mergeCell ref="L3:L4"/>
    <mergeCell ref="M3:M4"/>
    <mergeCell ref="N3:N4"/>
    <mergeCell ref="O3:O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5" sqref="D5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5" x14ac:dyDescent="0.2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5" x14ac:dyDescent="0.2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5" x14ac:dyDescent="0.2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5" x14ac:dyDescent="0.2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5" x14ac:dyDescent="0.2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D5" sqref="D5:E6"/>
    </sheetView>
  </sheetViews>
  <sheetFormatPr defaultRowHeight="14.25" x14ac:dyDescent="0.2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5" x14ac:dyDescent="0.2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5" x14ac:dyDescent="0.2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5" x14ac:dyDescent="0.2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5" x14ac:dyDescent="0.2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5" x14ac:dyDescent="0.2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5" x14ac:dyDescent="0.2">
      <c r="A11" s="409" t="s">
        <v>250</v>
      </c>
      <c r="B11" s="409" t="s">
        <v>250</v>
      </c>
      <c r="C11" s="410" t="s">
        <v>378</v>
      </c>
      <c r="D11" s="411"/>
      <c r="E11" s="408" t="s">
        <v>55</v>
      </c>
      <c r="F11" s="416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399">
        <f>8486.12/2</f>
        <v>4243.0600000000004</v>
      </c>
      <c r="O11" s="399">
        <f>8486.12/2</f>
        <v>4243.0600000000004</v>
      </c>
      <c r="P11" s="399">
        <f t="shared" si="0"/>
        <v>8486.1200000000008</v>
      </c>
      <c r="Q11" s="419">
        <v>0</v>
      </c>
      <c r="R11" s="399">
        <v>0</v>
      </c>
      <c r="S11" s="419">
        <v>0</v>
      </c>
      <c r="T11" s="399">
        <v>0</v>
      </c>
      <c r="U11" s="419">
        <v>0</v>
      </c>
      <c r="V11" s="394">
        <f t="shared" ref="V11:V14" si="4">P11+U11</f>
        <v>8486.1200000000008</v>
      </c>
      <c r="W11" s="394">
        <f t="shared" ref="W11:W14" si="5">V11</f>
        <v>8486.1200000000008</v>
      </c>
      <c r="X11" s="393"/>
    </row>
    <row r="12" spans="1:24" ht="15" x14ac:dyDescent="0.2">
      <c r="A12" s="409"/>
      <c r="B12" s="409"/>
      <c r="C12" s="410"/>
      <c r="D12" s="412"/>
      <c r="E12" s="414"/>
      <c r="F12" s="417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415"/>
      <c r="O12" s="415"/>
      <c r="P12" s="415"/>
      <c r="Q12" s="419"/>
      <c r="R12" s="415"/>
      <c r="S12" s="419"/>
      <c r="T12" s="415"/>
      <c r="U12" s="419"/>
      <c r="V12" s="420"/>
      <c r="W12" s="420"/>
      <c r="X12" s="393"/>
    </row>
    <row r="13" spans="1:24" ht="15" x14ac:dyDescent="0.2">
      <c r="A13" s="409"/>
      <c r="B13" s="409"/>
      <c r="C13" s="410"/>
      <c r="D13" s="413"/>
      <c r="E13" s="406"/>
      <c r="F13" s="418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400"/>
      <c r="O13" s="400"/>
      <c r="P13" s="400"/>
      <c r="Q13" s="419"/>
      <c r="R13" s="400"/>
      <c r="S13" s="419"/>
      <c r="T13" s="400"/>
      <c r="U13" s="419"/>
      <c r="V13" s="395"/>
      <c r="W13" s="395"/>
      <c r="X13" s="393"/>
    </row>
    <row r="14" spans="1:24" ht="15" x14ac:dyDescent="0.2">
      <c r="A14" s="404" t="s">
        <v>372</v>
      </c>
      <c r="B14" s="422" t="s">
        <v>372</v>
      </c>
      <c r="C14" s="410" t="s">
        <v>75</v>
      </c>
      <c r="D14" s="411"/>
      <c r="E14" s="422" t="s">
        <v>88</v>
      </c>
      <c r="F14" s="416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399">
        <f>8375.42/2</f>
        <v>4187.71</v>
      </c>
      <c r="O14" s="399">
        <f>8375.42/2</f>
        <v>4187.71</v>
      </c>
      <c r="P14" s="399">
        <f>SUM(N14:O16)</f>
        <v>8375.42</v>
      </c>
      <c r="Q14" s="419">
        <v>0</v>
      </c>
      <c r="R14" s="399">
        <v>0</v>
      </c>
      <c r="S14" s="419">
        <v>0</v>
      </c>
      <c r="T14" s="399">
        <v>0</v>
      </c>
      <c r="U14" s="419">
        <v>0</v>
      </c>
      <c r="V14" s="394">
        <f t="shared" si="4"/>
        <v>8375.42</v>
      </c>
      <c r="W14" s="394">
        <f t="shared" si="5"/>
        <v>8375.42</v>
      </c>
      <c r="X14" s="393"/>
    </row>
    <row r="15" spans="1:24" ht="15" x14ac:dyDescent="0.2">
      <c r="A15" s="421"/>
      <c r="B15" s="423"/>
      <c r="C15" s="410"/>
      <c r="D15" s="412"/>
      <c r="E15" s="423"/>
      <c r="F15" s="417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415"/>
      <c r="O15" s="415"/>
      <c r="P15" s="415"/>
      <c r="Q15" s="419"/>
      <c r="R15" s="415"/>
      <c r="S15" s="419"/>
      <c r="T15" s="415"/>
      <c r="U15" s="419"/>
      <c r="V15" s="420"/>
      <c r="W15" s="420"/>
      <c r="X15" s="393"/>
    </row>
    <row r="16" spans="1:24" ht="15" x14ac:dyDescent="0.2">
      <c r="A16" s="405"/>
      <c r="B16" s="424"/>
      <c r="C16" s="410"/>
      <c r="D16" s="413"/>
      <c r="E16" s="424"/>
      <c r="F16" s="418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400"/>
      <c r="O16" s="400"/>
      <c r="P16" s="400"/>
      <c r="Q16" s="419"/>
      <c r="R16" s="400"/>
      <c r="S16" s="419"/>
      <c r="T16" s="400"/>
      <c r="U16" s="419"/>
      <c r="V16" s="395"/>
      <c r="W16" s="395"/>
      <c r="X16" s="393"/>
    </row>
    <row r="17" spans="1:24" ht="15" x14ac:dyDescent="0.2">
      <c r="A17" s="404" t="s">
        <v>229</v>
      </c>
      <c r="B17" s="422" t="s">
        <v>229</v>
      </c>
      <c r="C17" s="410" t="s">
        <v>698</v>
      </c>
      <c r="D17" s="411"/>
      <c r="E17" s="422" t="s">
        <v>561</v>
      </c>
      <c r="F17" s="416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399">
        <f>8219.66/2</f>
        <v>4109.83</v>
      </c>
      <c r="O17" s="399">
        <f>8219.66/2</f>
        <v>4109.83</v>
      </c>
      <c r="P17" s="399">
        <f>SUM(N17:O19)</f>
        <v>8219.66</v>
      </c>
      <c r="Q17" s="419">
        <v>0</v>
      </c>
      <c r="R17" s="399">
        <v>0</v>
      </c>
      <c r="S17" s="419">
        <v>0</v>
      </c>
      <c r="T17" s="399">
        <v>0</v>
      </c>
      <c r="U17" s="419">
        <v>0</v>
      </c>
      <c r="V17" s="394">
        <f t="shared" ref="V17" si="6">P17+U17</f>
        <v>8219.66</v>
      </c>
      <c r="W17" s="394">
        <f t="shared" ref="W17" si="7">V17</f>
        <v>8219.66</v>
      </c>
      <c r="X17" s="393"/>
    </row>
    <row r="18" spans="1:24" ht="15" x14ac:dyDescent="0.2">
      <c r="A18" s="421"/>
      <c r="B18" s="423"/>
      <c r="C18" s="410"/>
      <c r="D18" s="412"/>
      <c r="E18" s="423"/>
      <c r="F18" s="417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415"/>
      <c r="O18" s="415"/>
      <c r="P18" s="415"/>
      <c r="Q18" s="419"/>
      <c r="R18" s="415"/>
      <c r="S18" s="419"/>
      <c r="T18" s="415"/>
      <c r="U18" s="419"/>
      <c r="V18" s="420"/>
      <c r="W18" s="420"/>
      <c r="X18" s="393"/>
    </row>
    <row r="19" spans="1:24" ht="15" x14ac:dyDescent="0.2">
      <c r="A19" s="405"/>
      <c r="B19" s="424"/>
      <c r="C19" s="410"/>
      <c r="D19" s="413"/>
      <c r="E19" s="424"/>
      <c r="F19" s="418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400"/>
      <c r="O19" s="400"/>
      <c r="P19" s="400"/>
      <c r="Q19" s="419"/>
      <c r="R19" s="400"/>
      <c r="S19" s="419"/>
      <c r="T19" s="400"/>
      <c r="U19" s="419"/>
      <c r="V19" s="395"/>
      <c r="W19" s="395"/>
      <c r="X19" s="393"/>
    </row>
  </sheetData>
  <mergeCells count="77">
    <mergeCell ref="T17:T19"/>
    <mergeCell ref="U17:U19"/>
    <mergeCell ref="V17:V19"/>
    <mergeCell ref="W17:W19"/>
    <mergeCell ref="X17:X19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A14:A16"/>
    <mergeCell ref="B14:B16"/>
    <mergeCell ref="C14:C16"/>
    <mergeCell ref="D14:D16"/>
    <mergeCell ref="E14:E16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30" x14ac:dyDescent="0.2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5" x14ac:dyDescent="0.2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5" x14ac:dyDescent="0.2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5" x14ac:dyDescent="0.2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5" x14ac:dyDescent="0.2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5" x14ac:dyDescent="0.2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5" x14ac:dyDescent="0.2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5" x14ac:dyDescent="0.2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5" x14ac:dyDescent="0.2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5" x14ac:dyDescent="0.2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5" x14ac:dyDescent="0.2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428" t="s">
        <v>372</v>
      </c>
      <c r="B5" s="428" t="s">
        <v>372</v>
      </c>
      <c r="C5" s="425" t="s">
        <v>75</v>
      </c>
      <c r="D5" s="425">
        <v>0</v>
      </c>
      <c r="E5" s="427" t="s">
        <v>88</v>
      </c>
      <c r="F5" s="428" t="s">
        <v>722</v>
      </c>
      <c r="G5" s="425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402">
        <v>45110</v>
      </c>
      <c r="M5" s="402">
        <v>45111</v>
      </c>
      <c r="N5" s="399">
        <f>3242.09/2</f>
        <v>1621.0450000000001</v>
      </c>
      <c r="O5" s="399">
        <f>3242.09/2</f>
        <v>1621.0450000000001</v>
      </c>
      <c r="P5" s="399">
        <f t="shared" ref="P5:P13" si="0">SUM(N5:O5)</f>
        <v>3242.09</v>
      </c>
      <c r="Q5" s="425">
        <v>0</v>
      </c>
      <c r="R5" s="425">
        <v>0</v>
      </c>
      <c r="S5" s="425">
        <v>0</v>
      </c>
      <c r="T5" s="425">
        <v>0</v>
      </c>
      <c r="U5" s="425">
        <f t="shared" ref="U5:U15" si="1">Q5*R5+S5*T5</f>
        <v>0</v>
      </c>
      <c r="V5" s="394">
        <f t="shared" ref="V5:V13" si="2">P5+U5</f>
        <v>3242.09</v>
      </c>
      <c r="W5" s="394">
        <f t="shared" ref="W5:W13" si="3">V5</f>
        <v>3242.09</v>
      </c>
      <c r="X5" s="425"/>
    </row>
    <row r="6" spans="1:24" s="119" customFormat="1" ht="15" x14ac:dyDescent="0.2">
      <c r="A6" s="426"/>
      <c r="B6" s="426"/>
      <c r="C6" s="426"/>
      <c r="D6" s="426"/>
      <c r="E6" s="426"/>
      <c r="F6" s="426"/>
      <c r="G6" s="426"/>
      <c r="H6" s="128" t="s">
        <v>38</v>
      </c>
      <c r="I6" s="128" t="s">
        <v>39</v>
      </c>
      <c r="J6" s="133" t="s">
        <v>32</v>
      </c>
      <c r="K6" s="133" t="s">
        <v>33</v>
      </c>
      <c r="L6" s="403"/>
      <c r="M6" s="403"/>
      <c r="N6" s="400"/>
      <c r="O6" s="400"/>
      <c r="P6" s="400"/>
      <c r="Q6" s="426"/>
      <c r="R6" s="426"/>
      <c r="S6" s="426"/>
      <c r="T6" s="426"/>
      <c r="U6" s="426"/>
      <c r="V6" s="395"/>
      <c r="W6" s="395"/>
      <c r="X6" s="426"/>
    </row>
    <row r="7" spans="1:24" s="119" customFormat="1" ht="15" x14ac:dyDescent="0.2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5" x14ac:dyDescent="0.2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5" x14ac:dyDescent="0.2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5" x14ac:dyDescent="0.2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5" x14ac:dyDescent="0.2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30" x14ac:dyDescent="0.2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5" x14ac:dyDescent="0.2">
      <c r="A13" s="428" t="s">
        <v>229</v>
      </c>
      <c r="B13" s="428" t="s">
        <v>229</v>
      </c>
      <c r="C13" s="404" t="s">
        <v>698</v>
      </c>
      <c r="D13" s="404">
        <v>0</v>
      </c>
      <c r="E13" s="428" t="s">
        <v>561</v>
      </c>
      <c r="F13" s="428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429">
        <v>45138</v>
      </c>
      <c r="M13" s="429">
        <v>45142</v>
      </c>
      <c r="N13" s="399">
        <f>5571.04/3</f>
        <v>1857.0133333333333</v>
      </c>
      <c r="O13" s="399">
        <f>5571.04/3</f>
        <v>1857.0133333333333</v>
      </c>
      <c r="P13" s="399">
        <f t="shared" si="0"/>
        <v>3714.0266666666666</v>
      </c>
      <c r="Q13" s="404">
        <v>0</v>
      </c>
      <c r="R13" s="404">
        <v>0</v>
      </c>
      <c r="S13" s="404">
        <v>0</v>
      </c>
      <c r="T13" s="404">
        <v>0</v>
      </c>
      <c r="U13" s="404">
        <f t="shared" si="1"/>
        <v>0</v>
      </c>
      <c r="V13" s="394">
        <f t="shared" si="2"/>
        <v>3714.0266666666666</v>
      </c>
      <c r="W13" s="394">
        <f t="shared" si="3"/>
        <v>3714.0266666666666</v>
      </c>
      <c r="X13" s="404"/>
    </row>
    <row r="14" spans="1:24" s="119" customFormat="1" ht="15" x14ac:dyDescent="0.2">
      <c r="A14" s="421"/>
      <c r="B14" s="421"/>
      <c r="C14" s="421"/>
      <c r="D14" s="421"/>
      <c r="E14" s="421"/>
      <c r="F14" s="421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421"/>
      <c r="M14" s="421"/>
      <c r="N14" s="415"/>
      <c r="O14" s="415"/>
      <c r="P14" s="415"/>
      <c r="Q14" s="421"/>
      <c r="R14" s="421"/>
      <c r="S14" s="421">
        <v>0</v>
      </c>
      <c r="T14" s="421">
        <v>0</v>
      </c>
      <c r="U14" s="421">
        <f t="shared" si="1"/>
        <v>0</v>
      </c>
      <c r="V14" s="420"/>
      <c r="W14" s="420"/>
      <c r="X14" s="421"/>
    </row>
    <row r="15" spans="1:24" s="119" customFormat="1" ht="15" x14ac:dyDescent="0.2">
      <c r="A15" s="405"/>
      <c r="B15" s="405"/>
      <c r="C15" s="405"/>
      <c r="D15" s="405"/>
      <c r="E15" s="405"/>
      <c r="F15" s="405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405"/>
      <c r="M15" s="405"/>
      <c r="N15" s="400"/>
      <c r="O15" s="400"/>
      <c r="P15" s="400"/>
      <c r="Q15" s="405"/>
      <c r="R15" s="405"/>
      <c r="S15" s="405">
        <v>0</v>
      </c>
      <c r="T15" s="405">
        <v>0</v>
      </c>
      <c r="U15" s="405">
        <f t="shared" si="1"/>
        <v>0</v>
      </c>
      <c r="V15" s="395"/>
      <c r="W15" s="395"/>
      <c r="X15" s="405"/>
    </row>
  </sheetData>
  <mergeCells count="65">
    <mergeCell ref="W13:W15"/>
    <mergeCell ref="X13:X15"/>
    <mergeCell ref="Q13:Q15"/>
    <mergeCell ref="R13:R15"/>
    <mergeCell ref="T13:T15"/>
    <mergeCell ref="U13:U15"/>
    <mergeCell ref="V13:V15"/>
    <mergeCell ref="L13:L15"/>
    <mergeCell ref="M13:M15"/>
    <mergeCell ref="N13:N15"/>
    <mergeCell ref="O13:O15"/>
    <mergeCell ref="P13:P15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T5:T6"/>
    <mergeCell ref="U5:U6"/>
    <mergeCell ref="V5:V6"/>
    <mergeCell ref="W5:W6"/>
    <mergeCell ref="X5:X6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43101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5" x14ac:dyDescent="0.2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5" x14ac:dyDescent="0.2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5" x14ac:dyDescent="0.2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5" x14ac:dyDescent="0.2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5" x14ac:dyDescent="0.2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5" x14ac:dyDescent="0.2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5" x14ac:dyDescent="0.2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5" x14ac:dyDescent="0.2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5" x14ac:dyDescent="0.2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5" x14ac:dyDescent="0.2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5" x14ac:dyDescent="0.2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5" x14ac:dyDescent="0.2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5" x14ac:dyDescent="0.2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5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5" x14ac:dyDescent="0.25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5" x14ac:dyDescent="0.2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5" x14ac:dyDescent="0.2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5" x14ac:dyDescent="0.2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5" x14ac:dyDescent="0.2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5" x14ac:dyDescent="0.2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5" x14ac:dyDescent="0.2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5" x14ac:dyDescent="0.2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5" x14ac:dyDescent="0.2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5" x14ac:dyDescent="0.2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5" x14ac:dyDescent="0.2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5" x14ac:dyDescent="0.2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5" x14ac:dyDescent="0.2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5" x14ac:dyDescent="0.2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5" x14ac:dyDescent="0.25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5" x14ac:dyDescent="0.2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5" x14ac:dyDescent="0.2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5" x14ac:dyDescent="0.2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5" x14ac:dyDescent="0.2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2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5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5" x14ac:dyDescent="0.25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30" x14ac:dyDescent="0.25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5" x14ac:dyDescent="0.25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5" x14ac:dyDescent="0.2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5" x14ac:dyDescent="0.2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5" x14ac:dyDescent="0.2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5" x14ac:dyDescent="0.2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5" x14ac:dyDescent="0.2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5" x14ac:dyDescent="0.2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5" x14ac:dyDescent="0.2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5" x14ac:dyDescent="0.2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5" x14ac:dyDescent="0.2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5" x14ac:dyDescent="0.2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5" x14ac:dyDescent="0.2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5" x14ac:dyDescent="0.2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5" x14ac:dyDescent="0.2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5" x14ac:dyDescent="0.25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5" x14ac:dyDescent="0.2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30" x14ac:dyDescent="0.2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5" x14ac:dyDescent="0.2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5" x14ac:dyDescent="0.2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5" x14ac:dyDescent="0.2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5" x14ac:dyDescent="0.2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5" x14ac:dyDescent="0.25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5" x14ac:dyDescent="0.25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2"/>
    <row r="36" spans="3:6" x14ac:dyDescent="0.2">
      <c r="E36" s="140" t="str">
        <f>UPPER(E45)</f>
        <v>EVENTO REGULATÓRIO COMMIT/MITSUI - QUANTUM</v>
      </c>
    </row>
    <row r="37" spans="3:6" x14ac:dyDescent="0.2">
      <c r="F37" s="140" t="str">
        <f>UPPER(G15)</f>
        <v>NACIONAL</v>
      </c>
    </row>
    <row r="40" spans="3:6" x14ac:dyDescent="0.2">
      <c r="F40" t="s">
        <v>762</v>
      </c>
    </row>
    <row r="41" spans="3:6" x14ac:dyDescent="0.2">
      <c r="C41" t="s">
        <v>769</v>
      </c>
    </row>
    <row r="43" spans="3:6" x14ac:dyDescent="0.2">
      <c r="F43" t="s">
        <v>766</v>
      </c>
    </row>
    <row r="45" spans="3:6" x14ac:dyDescent="0.2">
      <c r="E45" t="s">
        <v>773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5" x14ac:dyDescent="0.25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5" x14ac:dyDescent="0.2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5" x14ac:dyDescent="0.25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5" x14ac:dyDescent="0.25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5" x14ac:dyDescent="0.25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5" x14ac:dyDescent="0.25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5" x14ac:dyDescent="0.2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5" x14ac:dyDescent="0.2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5" x14ac:dyDescent="0.2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5" x14ac:dyDescent="0.2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5" x14ac:dyDescent="0.2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2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5" x14ac:dyDescent="0.2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5" x14ac:dyDescent="0.2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5" x14ac:dyDescent="0.2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5" x14ac:dyDescent="0.2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5" x14ac:dyDescent="0.2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2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5" x14ac:dyDescent="0.2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5" x14ac:dyDescent="0.2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2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30" x14ac:dyDescent="0.2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30" x14ac:dyDescent="0.2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30" x14ac:dyDescent="0.2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30" x14ac:dyDescent="0.2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30" x14ac:dyDescent="0.2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30" x14ac:dyDescent="0.2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5" x14ac:dyDescent="0.2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5" x14ac:dyDescent="0.2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5" x14ac:dyDescent="0.2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5" x14ac:dyDescent="0.2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5" x14ac:dyDescent="0.2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5" x14ac:dyDescent="0.2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5" x14ac:dyDescent="0.2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5" x14ac:dyDescent="0.2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5" x14ac:dyDescent="0.2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5" x14ac:dyDescent="0.2">
      <c r="A20" s="404" t="s">
        <v>229</v>
      </c>
      <c r="B20" s="422" t="s">
        <v>229</v>
      </c>
      <c r="C20" s="430" t="s">
        <v>698</v>
      </c>
      <c r="D20" s="411">
        <v>0</v>
      </c>
      <c r="E20" s="422" t="s">
        <v>561</v>
      </c>
      <c r="F20" s="416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399">
        <f>(1185.19+2838.3)/3</f>
        <v>1341.1633333333334</v>
      </c>
      <c r="O20" s="399">
        <f>(1185.19+2838.3)/3</f>
        <v>1341.1633333333334</v>
      </c>
      <c r="P20" s="399">
        <f>SUM(N20:O22)</f>
        <v>2682.3266666666668</v>
      </c>
      <c r="Q20" s="419">
        <v>0</v>
      </c>
      <c r="R20" s="399">
        <v>0</v>
      </c>
      <c r="S20" s="419">
        <v>0</v>
      </c>
      <c r="T20" s="399">
        <v>0</v>
      </c>
      <c r="U20" s="419">
        <v>0</v>
      </c>
      <c r="V20" s="394">
        <f t="shared" si="25"/>
        <v>2682.3266666666668</v>
      </c>
      <c r="W20" s="394">
        <f t="shared" si="26"/>
        <v>2682.3266666666668</v>
      </c>
      <c r="X20" s="393"/>
    </row>
    <row r="21" spans="1:24" ht="15" x14ac:dyDescent="0.2">
      <c r="A21" s="421"/>
      <c r="B21" s="423"/>
      <c r="C21" s="410"/>
      <c r="D21" s="412"/>
      <c r="E21" s="423"/>
      <c r="F21" s="417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415"/>
      <c r="O21" s="415"/>
      <c r="P21" s="415"/>
      <c r="Q21" s="419"/>
      <c r="R21" s="415"/>
      <c r="S21" s="419"/>
      <c r="T21" s="415"/>
      <c r="U21" s="419"/>
      <c r="V21" s="420"/>
      <c r="W21" s="420"/>
      <c r="X21" s="393"/>
    </row>
    <row r="22" spans="1:24" ht="15" x14ac:dyDescent="0.2">
      <c r="A22" s="405"/>
      <c r="B22" s="424"/>
      <c r="C22" s="410"/>
      <c r="D22" s="413"/>
      <c r="E22" s="424"/>
      <c r="F22" s="418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400"/>
      <c r="O22" s="400"/>
      <c r="P22" s="400"/>
      <c r="Q22" s="419"/>
      <c r="R22" s="400"/>
      <c r="S22" s="419"/>
      <c r="T22" s="400"/>
      <c r="U22" s="419"/>
      <c r="V22" s="395"/>
      <c r="W22" s="395"/>
      <c r="X22" s="393"/>
    </row>
  </sheetData>
  <mergeCells count="43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Q3:R3"/>
    <mergeCell ref="S3:T3"/>
    <mergeCell ref="U3:U4"/>
    <mergeCell ref="V3:V4"/>
    <mergeCell ref="U20:U22"/>
    <mergeCell ref="V20:V22"/>
    <mergeCell ref="W20:W22"/>
    <mergeCell ref="X20:X22"/>
    <mergeCell ref="O20:O22"/>
    <mergeCell ref="P20:P22"/>
    <mergeCell ref="Q20:Q22"/>
    <mergeCell ref="R20:R22"/>
    <mergeCell ref="T20:T22"/>
    <mergeCell ref="S20:S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5" x14ac:dyDescent="0.2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5" x14ac:dyDescent="0.2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5" x14ac:dyDescent="0.2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5" x14ac:dyDescent="0.2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5" x14ac:dyDescent="0.2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5" x14ac:dyDescent="0.2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5" x14ac:dyDescent="0.2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5" x14ac:dyDescent="0.2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5" x14ac:dyDescent="0.2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5" x14ac:dyDescent="0.2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5" x14ac:dyDescent="0.2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5" x14ac:dyDescent="0.2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5" x14ac:dyDescent="0.2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5" x14ac:dyDescent="0.2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5" x14ac:dyDescent="0.2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30" x14ac:dyDescent="0.2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5" x14ac:dyDescent="0.2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5" x14ac:dyDescent="0.2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5" x14ac:dyDescent="0.2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5" x14ac:dyDescent="0.2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5" x14ac:dyDescent="0.2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A22" sqref="A22:E25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54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5" x14ac:dyDescent="0.2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5" x14ac:dyDescent="0.2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5" x14ac:dyDescent="0.2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5" x14ac:dyDescent="0.2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5" x14ac:dyDescent="0.2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5" x14ac:dyDescent="0.2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5" x14ac:dyDescent="0.2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5" x14ac:dyDescent="0.2">
      <c r="A13" s="154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5" x14ac:dyDescent="0.2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5" x14ac:dyDescent="0.2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5" x14ac:dyDescent="0.2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5" x14ac:dyDescent="0.2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5" x14ac:dyDescent="0.2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5" x14ac:dyDescent="0.2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5" x14ac:dyDescent="0.2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5" x14ac:dyDescent="0.2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5" x14ac:dyDescent="0.2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5" x14ac:dyDescent="0.2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5" x14ac:dyDescent="0.2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5" x14ac:dyDescent="0.2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5" x14ac:dyDescent="0.2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43160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workbookViewId="0">
      <selection activeCell="A22" sqref="A22:E25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26" t="s">
        <v>250</v>
      </c>
      <c r="B5" s="154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154" t="s">
        <v>32</v>
      </c>
      <c r="K5" s="154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5" x14ac:dyDescent="0.2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154" t="s">
        <v>364</v>
      </c>
      <c r="K6" s="154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5" x14ac:dyDescent="0.2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154" t="s">
        <v>364</v>
      </c>
      <c r="K7" s="154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5" x14ac:dyDescent="0.2">
      <c r="A8" s="126" t="s">
        <v>229</v>
      </c>
      <c r="B8" s="126" t="s">
        <v>229</v>
      </c>
      <c r="C8" s="153" t="s">
        <v>757</v>
      </c>
      <c r="D8" s="47">
        <v>392</v>
      </c>
      <c r="E8" s="154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154" t="s">
        <v>364</v>
      </c>
      <c r="K8" s="154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5" x14ac:dyDescent="0.2">
      <c r="A9" s="126" t="s">
        <v>250</v>
      </c>
      <c r="B9" s="126" t="s">
        <v>212</v>
      </c>
      <c r="C9" s="146" t="s">
        <v>95</v>
      </c>
      <c r="D9" s="47">
        <v>73</v>
      </c>
      <c r="E9" s="154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154" t="s">
        <v>38</v>
      </c>
      <c r="K9" s="154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5" x14ac:dyDescent="0.2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55" t="s">
        <v>569</v>
      </c>
      <c r="G10" s="76" t="s">
        <v>31</v>
      </c>
      <c r="H10" s="76" t="s">
        <v>32</v>
      </c>
      <c r="I10" s="76" t="s">
        <v>33</v>
      </c>
      <c r="J10" s="154" t="s">
        <v>38</v>
      </c>
      <c r="K10" s="154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5" x14ac:dyDescent="0.2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154" t="s">
        <v>61</v>
      </c>
      <c r="K11" s="154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5" x14ac:dyDescent="0.2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154" t="s">
        <v>38</v>
      </c>
      <c r="K12" s="154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5" x14ac:dyDescent="0.2">
      <c r="A13" s="126" t="s">
        <v>250</v>
      </c>
      <c r="B13" s="126" t="s">
        <v>322</v>
      </c>
      <c r="C13" s="146" t="s">
        <v>343</v>
      </c>
      <c r="D13" s="47">
        <v>128</v>
      </c>
      <c r="E13" s="154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154" t="s">
        <v>61</v>
      </c>
      <c r="K13" s="154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5" x14ac:dyDescent="0.2">
      <c r="A14" s="126" t="s">
        <v>250</v>
      </c>
      <c r="B14" s="126" t="s">
        <v>212</v>
      </c>
      <c r="C14" s="146" t="s">
        <v>539</v>
      </c>
      <c r="D14" s="47">
        <v>159</v>
      </c>
      <c r="E14" s="154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154" t="s">
        <v>111</v>
      </c>
      <c r="K14" s="154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5" x14ac:dyDescent="0.2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154" t="s">
        <v>32</v>
      </c>
      <c r="K15" s="154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5" x14ac:dyDescent="0.2">
      <c r="A16" s="126" t="s">
        <v>372</v>
      </c>
      <c r="B16" s="126" t="s">
        <v>272</v>
      </c>
      <c r="C16" s="146" t="s">
        <v>752</v>
      </c>
      <c r="D16" s="47">
        <v>384</v>
      </c>
      <c r="E16" s="154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154" t="s">
        <v>111</v>
      </c>
      <c r="K16" s="154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workbookViewId="0">
      <selection activeCell="A22" sqref="A22:E25"/>
    </sheetView>
  </sheetViews>
  <sheetFormatPr defaultRowHeight="14.25" x14ac:dyDescent="0.2"/>
  <cols>
    <col min="1" max="1" width="31.625" bestFit="1" customWidth="1"/>
    <col min="2" max="2" width="38.25" bestFit="1" customWidth="1"/>
    <col min="3" max="3" width="28.75" bestFit="1" customWidth="1"/>
    <col min="4" max="4" width="9" bestFit="1" customWidth="1"/>
    <col min="5" max="5" width="31.25" bestFit="1" customWidth="1"/>
    <col min="6" max="6" width="57.625" customWidth="1"/>
    <col min="7" max="7" width="9.125" bestFit="1" customWidth="1"/>
    <col min="8" max="8" width="3.375" bestFit="1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</row>
    <row r="2" spans="1:24" ht="15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35"/>
      <c r="J2" s="335"/>
      <c r="K2" s="335"/>
      <c r="L2" s="335"/>
      <c r="M2" s="335"/>
      <c r="N2" s="335" t="s">
        <v>7</v>
      </c>
      <c r="O2" s="335"/>
      <c r="P2" s="335"/>
      <c r="Q2" s="335" t="s">
        <v>1</v>
      </c>
      <c r="R2" s="335"/>
      <c r="S2" s="335"/>
      <c r="T2" s="335"/>
      <c r="U2" s="335"/>
      <c r="V2" s="335"/>
      <c r="W2" s="335" t="s">
        <v>8</v>
      </c>
      <c r="X2" s="386" t="s">
        <v>9</v>
      </c>
    </row>
    <row r="3" spans="1:24" ht="15" x14ac:dyDescent="0.25">
      <c r="A3" s="333" t="s">
        <v>10</v>
      </c>
      <c r="B3" s="333" t="s">
        <v>11</v>
      </c>
      <c r="C3" s="333" t="s">
        <v>12</v>
      </c>
      <c r="D3" s="333" t="s">
        <v>13</v>
      </c>
      <c r="E3" s="333" t="s">
        <v>14</v>
      </c>
      <c r="F3" s="333" t="s">
        <v>15</v>
      </c>
      <c r="G3" s="333" t="s">
        <v>16</v>
      </c>
      <c r="H3" s="333" t="s">
        <v>17</v>
      </c>
      <c r="I3" s="333"/>
      <c r="J3" s="332" t="s">
        <v>18</v>
      </c>
      <c r="K3" s="332"/>
      <c r="L3" s="333" t="s">
        <v>19</v>
      </c>
      <c r="M3" s="333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3" t="s">
        <v>26</v>
      </c>
      <c r="V3" s="332" t="s">
        <v>23</v>
      </c>
      <c r="W3" s="335"/>
      <c r="X3" s="386"/>
    </row>
    <row r="4" spans="1:24" ht="15" x14ac:dyDescent="0.25">
      <c r="A4" s="389"/>
      <c r="B4" s="389"/>
      <c r="C4" s="389"/>
      <c r="D4" s="389"/>
      <c r="E4" s="389"/>
      <c r="F4" s="389"/>
      <c r="G4" s="389"/>
      <c r="H4" s="10" t="s">
        <v>27</v>
      </c>
      <c r="I4" s="10" t="s">
        <v>28</v>
      </c>
      <c r="J4" s="10" t="s">
        <v>27</v>
      </c>
      <c r="K4" s="11" t="s">
        <v>29</v>
      </c>
      <c r="L4" s="389"/>
      <c r="M4" s="389"/>
      <c r="N4" s="390"/>
      <c r="O4" s="390"/>
      <c r="P4" s="390"/>
      <c r="Q4" s="10" t="s">
        <v>2</v>
      </c>
      <c r="R4" s="11" t="s">
        <v>30</v>
      </c>
      <c r="S4" s="10" t="s">
        <v>2</v>
      </c>
      <c r="T4" s="11" t="s">
        <v>30</v>
      </c>
      <c r="U4" s="389"/>
      <c r="V4" s="390"/>
      <c r="W4" s="388"/>
      <c r="X4" s="387"/>
    </row>
    <row r="5" spans="1:24" s="119" customFormat="1" ht="15" x14ac:dyDescent="0.2">
      <c r="A5" s="164" t="s">
        <v>857</v>
      </c>
      <c r="B5" s="164" t="s">
        <v>857</v>
      </c>
      <c r="C5" s="156" t="s">
        <v>378</v>
      </c>
      <c r="D5" s="47">
        <v>0</v>
      </c>
      <c r="E5" s="110" t="s">
        <v>55</v>
      </c>
      <c r="F5" s="157" t="s">
        <v>801</v>
      </c>
      <c r="G5" s="76" t="s">
        <v>31</v>
      </c>
      <c r="H5" s="76" t="s">
        <v>32</v>
      </c>
      <c r="I5" s="76" t="s">
        <v>33</v>
      </c>
      <c r="J5" s="156" t="s">
        <v>61</v>
      </c>
      <c r="K5" s="156" t="s">
        <v>62</v>
      </c>
      <c r="L5" s="117">
        <v>45483</v>
      </c>
      <c r="M5" s="117">
        <v>45490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9"/>
    </row>
    <row r="6" spans="1:24" s="119" customFormat="1" ht="30" x14ac:dyDescent="0.2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7" t="s">
        <v>855</v>
      </c>
      <c r="G6" s="76" t="s">
        <v>31</v>
      </c>
      <c r="H6" s="76" t="s">
        <v>32</v>
      </c>
      <c r="I6" s="76" t="s">
        <v>33</v>
      </c>
      <c r="J6" s="156" t="s">
        <v>409</v>
      </c>
      <c r="K6" s="156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15" x14ac:dyDescent="0.2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156" t="s">
        <v>409</v>
      </c>
      <c r="K7" s="156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253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5" x14ac:dyDescent="0.2">
      <c r="A8" s="409" t="s">
        <v>229</v>
      </c>
      <c r="B8" s="409" t="s">
        <v>229</v>
      </c>
      <c r="C8" s="434" t="s">
        <v>698</v>
      </c>
      <c r="D8" s="411">
        <v>0</v>
      </c>
      <c r="E8" s="435" t="s">
        <v>561</v>
      </c>
      <c r="F8" s="432" t="s">
        <v>856</v>
      </c>
      <c r="G8" s="76" t="s">
        <v>31</v>
      </c>
      <c r="H8" s="76" t="s">
        <v>32</v>
      </c>
      <c r="I8" s="76" t="s">
        <v>33</v>
      </c>
      <c r="J8" s="156" t="s">
        <v>38</v>
      </c>
      <c r="K8" s="156" t="s">
        <v>39</v>
      </c>
      <c r="L8" s="158">
        <v>45482</v>
      </c>
      <c r="M8" s="158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397">
        <v>0</v>
      </c>
      <c r="R8" s="399">
        <v>120</v>
      </c>
      <c r="S8" s="397">
        <v>0</v>
      </c>
      <c r="T8" s="399">
        <v>0</v>
      </c>
      <c r="U8" s="394">
        <f t="shared" si="1"/>
        <v>0</v>
      </c>
      <c r="V8" s="394">
        <f t="shared" si="2"/>
        <v>2015.83</v>
      </c>
      <c r="W8" s="394">
        <f t="shared" si="3"/>
        <v>2015.83</v>
      </c>
      <c r="X8" s="397"/>
    </row>
    <row r="9" spans="1:24" s="119" customFormat="1" ht="15" x14ac:dyDescent="0.2">
      <c r="A9" s="409"/>
      <c r="B9" s="409"/>
      <c r="C9" s="434"/>
      <c r="D9" s="412"/>
      <c r="E9" s="436"/>
      <c r="F9" s="433"/>
      <c r="G9" s="76" t="s">
        <v>31</v>
      </c>
      <c r="H9" s="156" t="s">
        <v>38</v>
      </c>
      <c r="I9" s="156" t="s">
        <v>39</v>
      </c>
      <c r="J9" s="156" t="s">
        <v>61</v>
      </c>
      <c r="K9" s="156" t="s">
        <v>62</v>
      </c>
      <c r="L9" s="158">
        <v>45484</v>
      </c>
      <c r="M9" s="158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431"/>
      <c r="R9" s="415"/>
      <c r="S9" s="431"/>
      <c r="T9" s="415"/>
      <c r="U9" s="420"/>
      <c r="V9" s="420"/>
      <c r="W9" s="420"/>
      <c r="X9" s="431"/>
    </row>
    <row r="10" spans="1:24" ht="15" x14ac:dyDescent="0.2">
      <c r="A10" s="409"/>
      <c r="B10" s="409"/>
      <c r="C10" s="434"/>
      <c r="D10" s="413"/>
      <c r="E10" s="437"/>
      <c r="F10" s="433"/>
      <c r="G10" s="76" t="s">
        <v>31</v>
      </c>
      <c r="H10" s="156" t="s">
        <v>61</v>
      </c>
      <c r="I10" s="156" t="s">
        <v>62</v>
      </c>
      <c r="J10" s="76" t="s">
        <v>32</v>
      </c>
      <c r="K10" s="76" t="s">
        <v>33</v>
      </c>
      <c r="L10" s="158">
        <v>45485</v>
      </c>
      <c r="M10" s="158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398"/>
      <c r="R10" s="400"/>
      <c r="S10" s="398"/>
      <c r="T10" s="400"/>
      <c r="U10" s="395"/>
      <c r="V10" s="395"/>
      <c r="W10" s="395"/>
      <c r="X10" s="398"/>
    </row>
  </sheetData>
  <mergeCells count="40">
    <mergeCell ref="W8:W10"/>
    <mergeCell ref="X8:X10"/>
    <mergeCell ref="D8:D10"/>
    <mergeCell ref="C8:C10"/>
    <mergeCell ref="B8:B10"/>
    <mergeCell ref="V8:V10"/>
    <mergeCell ref="E8:E10"/>
    <mergeCell ref="S8:S10"/>
    <mergeCell ref="T8:T10"/>
    <mergeCell ref="U8:U10"/>
    <mergeCell ref="A8:A10"/>
    <mergeCell ref="Q8:Q10"/>
    <mergeCell ref="R8:R10"/>
    <mergeCell ref="Q3:R3"/>
    <mergeCell ref="S3:T3"/>
    <mergeCell ref="C3:C4"/>
    <mergeCell ref="D3:D4"/>
    <mergeCell ref="G3:G4"/>
    <mergeCell ref="H3:I3"/>
    <mergeCell ref="J3:K3"/>
    <mergeCell ref="L3:L4"/>
    <mergeCell ref="M3:M4"/>
    <mergeCell ref="N3:N4"/>
    <mergeCell ref="O3:O4"/>
    <mergeCell ref="P3:P4"/>
    <mergeCell ref="F8:F10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U3:U4"/>
    <mergeCell ref="V3:V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C632-6ADE-43C1-9711-C4671AB347BD}">
  <dimension ref="A1:U54"/>
  <sheetViews>
    <sheetView showGridLines="0" topLeftCell="A39" zoomScale="90" zoomScaleNormal="90" workbookViewId="0">
      <selection activeCell="A22" sqref="A22:E25"/>
    </sheetView>
  </sheetViews>
  <sheetFormatPr defaultRowHeight="15" x14ac:dyDescent="0.25"/>
  <cols>
    <col min="1" max="1" width="38.5" bestFit="1" customWidth="1"/>
    <col min="2" max="2" width="43.375" customWidth="1"/>
    <col min="3" max="3" width="33.875" style="165" customWidth="1"/>
    <col min="4" max="4" width="9.125" bestFit="1" customWidth="1"/>
    <col min="5" max="5" width="13.375" style="221" bestFit="1" customWidth="1"/>
    <col min="6" max="6" width="29.75" style="166" customWidth="1"/>
    <col min="7" max="7" width="13.875" bestFit="1" customWidth="1"/>
    <col min="8" max="8" width="31.125" style="165" bestFit="1" customWidth="1"/>
    <col min="9" max="9" width="11.5" style="165" bestFit="1" customWidth="1"/>
    <col min="10" max="10" width="9.875" style="165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1.25" bestFit="1" customWidth="1"/>
    <col min="21" max="21" width="64" style="165" bestFit="1" customWidth="1"/>
  </cols>
  <sheetData>
    <row r="1" spans="1:21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</row>
    <row r="2" spans="1:21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88"/>
      <c r="J2" s="388"/>
      <c r="K2" s="488" t="s">
        <v>7</v>
      </c>
      <c r="L2" s="488"/>
      <c r="M2" s="488"/>
      <c r="N2" s="335" t="s">
        <v>1</v>
      </c>
      <c r="O2" s="335"/>
      <c r="P2" s="335"/>
      <c r="Q2" s="335"/>
      <c r="R2" s="335"/>
      <c r="S2" s="335"/>
      <c r="T2" s="335" t="s">
        <v>8</v>
      </c>
      <c r="U2" s="489" t="s">
        <v>9</v>
      </c>
    </row>
    <row r="3" spans="1:21" s="167" customFormat="1" x14ac:dyDescent="0.2">
      <c r="A3" s="473" t="s">
        <v>10</v>
      </c>
      <c r="B3" s="473" t="s">
        <v>11</v>
      </c>
      <c r="C3" s="491" t="s">
        <v>12</v>
      </c>
      <c r="D3" s="473" t="s">
        <v>13</v>
      </c>
      <c r="E3" s="493" t="s">
        <v>14</v>
      </c>
      <c r="F3" s="491" t="s">
        <v>15</v>
      </c>
      <c r="G3" s="473" t="s">
        <v>16</v>
      </c>
      <c r="H3" s="477" t="s">
        <v>859</v>
      </c>
      <c r="I3" s="480" t="s">
        <v>19</v>
      </c>
      <c r="J3" s="480" t="s">
        <v>20</v>
      </c>
      <c r="K3" s="482" t="s">
        <v>21</v>
      </c>
      <c r="L3" s="484" t="s">
        <v>22</v>
      </c>
      <c r="M3" s="486" t="s">
        <v>23</v>
      </c>
      <c r="N3" s="486" t="s">
        <v>24</v>
      </c>
      <c r="O3" s="486"/>
      <c r="P3" s="472" t="s">
        <v>25</v>
      </c>
      <c r="Q3" s="472"/>
      <c r="R3" s="473" t="s">
        <v>26</v>
      </c>
      <c r="S3" s="472" t="s">
        <v>23</v>
      </c>
      <c r="T3" s="335"/>
      <c r="U3" s="489"/>
    </row>
    <row r="4" spans="1:21" s="167" customFormat="1" x14ac:dyDescent="0.2">
      <c r="A4" s="474"/>
      <c r="B4" s="474"/>
      <c r="C4" s="492"/>
      <c r="D4" s="474"/>
      <c r="E4" s="494"/>
      <c r="F4" s="492"/>
      <c r="G4" s="474"/>
      <c r="H4" s="478"/>
      <c r="I4" s="481"/>
      <c r="J4" s="481"/>
      <c r="K4" s="483"/>
      <c r="L4" s="485"/>
      <c r="M4" s="487"/>
      <c r="N4" s="209" t="s">
        <v>2</v>
      </c>
      <c r="O4" s="210" t="s">
        <v>30</v>
      </c>
      <c r="P4" s="211" t="s">
        <v>2</v>
      </c>
      <c r="Q4" s="212" t="s">
        <v>30</v>
      </c>
      <c r="R4" s="474"/>
      <c r="S4" s="479"/>
      <c r="T4" s="388"/>
      <c r="U4" s="490"/>
    </row>
    <row r="5" spans="1:21" s="119" customFormat="1" ht="60" hidden="1" x14ac:dyDescent="0.2">
      <c r="A5" s="154" t="s">
        <v>250</v>
      </c>
      <c r="B5" s="215" t="s">
        <v>901</v>
      </c>
      <c r="C5" s="164" t="s">
        <v>802</v>
      </c>
      <c r="D5" s="217">
        <v>404</v>
      </c>
      <c r="E5" s="175" t="s">
        <v>898</v>
      </c>
      <c r="F5" s="191" t="s">
        <v>871</v>
      </c>
      <c r="G5" s="76" t="s">
        <v>31</v>
      </c>
      <c r="H5" s="164" t="s">
        <v>860</v>
      </c>
      <c r="I5" s="195">
        <v>45510</v>
      </c>
      <c r="J5" s="195">
        <v>45511</v>
      </c>
      <c r="K5" s="196">
        <f>M5/2</f>
        <v>1250.6099999999999</v>
      </c>
      <c r="L5" s="196">
        <f>M5/2</f>
        <v>1250.6099999999999</v>
      </c>
      <c r="M5" s="196">
        <v>2501.2199999999998</v>
      </c>
      <c r="N5" s="169">
        <f>(J5-I5)+1</f>
        <v>2</v>
      </c>
      <c r="O5" s="197">
        <v>120</v>
      </c>
      <c r="P5" s="94">
        <v>0</v>
      </c>
      <c r="Q5" s="130">
        <v>0</v>
      </c>
      <c r="R5" s="70">
        <f t="shared" ref="R5:R46" si="0">N5*O5+P5*Q5</f>
        <v>240</v>
      </c>
      <c r="S5" s="70">
        <f t="shared" ref="S5:S47" si="1">M5+R5</f>
        <v>2741.22</v>
      </c>
      <c r="T5" s="70">
        <f t="shared" ref="T5:T27" si="2">S5</f>
        <v>2741.22</v>
      </c>
      <c r="U5" s="169"/>
    </row>
    <row r="6" spans="1:21" s="119" customFormat="1" ht="45" hidden="1" x14ac:dyDescent="0.2">
      <c r="A6" s="126" t="s">
        <v>229</v>
      </c>
      <c r="B6" s="126" t="s">
        <v>229</v>
      </c>
      <c r="C6" s="194" t="s">
        <v>757</v>
      </c>
      <c r="D6" s="222">
        <v>392</v>
      </c>
      <c r="E6" s="175" t="s">
        <v>798</v>
      </c>
      <c r="F6" s="191" t="s">
        <v>871</v>
      </c>
      <c r="G6" s="76" t="s">
        <v>31</v>
      </c>
      <c r="H6" s="164" t="s">
        <v>860</v>
      </c>
      <c r="I6" s="195">
        <v>45510</v>
      </c>
      <c r="J6" s="195">
        <v>45511</v>
      </c>
      <c r="K6" s="196">
        <f t="shared" ref="K6:K21" si="3">M6/2</f>
        <v>1341.84</v>
      </c>
      <c r="L6" s="196">
        <f t="shared" ref="L6:L21" si="4">M6/2</f>
        <v>1341.84</v>
      </c>
      <c r="M6" s="196">
        <v>2683.68</v>
      </c>
      <c r="N6" s="169">
        <f>(J6-I6)+1</f>
        <v>2</v>
      </c>
      <c r="O6" s="197">
        <v>120</v>
      </c>
      <c r="P6" s="94">
        <v>0</v>
      </c>
      <c r="Q6" s="130">
        <v>0</v>
      </c>
      <c r="R6" s="70">
        <f t="shared" si="0"/>
        <v>240</v>
      </c>
      <c r="S6" s="70">
        <f t="shared" si="1"/>
        <v>2923.68</v>
      </c>
      <c r="T6" s="70">
        <f t="shared" si="2"/>
        <v>2923.68</v>
      </c>
      <c r="U6" s="169"/>
    </row>
    <row r="7" spans="1:21" s="119" customFormat="1" ht="45" x14ac:dyDescent="0.2">
      <c r="A7" s="183" t="s">
        <v>229</v>
      </c>
      <c r="B7" s="183" t="s">
        <v>229</v>
      </c>
      <c r="C7" s="184" t="s">
        <v>858</v>
      </c>
      <c r="D7" s="185">
        <v>0</v>
      </c>
      <c r="E7" s="177" t="s">
        <v>90</v>
      </c>
      <c r="F7" s="192" t="s">
        <v>871</v>
      </c>
      <c r="G7" s="178" t="s">
        <v>31</v>
      </c>
      <c r="H7" s="184" t="s">
        <v>860</v>
      </c>
      <c r="I7" s="198">
        <v>45510</v>
      </c>
      <c r="J7" s="198">
        <v>45511</v>
      </c>
      <c r="K7" s="199">
        <f t="shared" si="3"/>
        <v>958.51499999999999</v>
      </c>
      <c r="L7" s="199">
        <f t="shared" si="4"/>
        <v>958.51499999999999</v>
      </c>
      <c r="M7" s="199">
        <v>1917.03</v>
      </c>
      <c r="N7" s="179">
        <v>0</v>
      </c>
      <c r="O7" s="199">
        <v>120</v>
      </c>
      <c r="P7" s="181">
        <v>0</v>
      </c>
      <c r="Q7" s="180">
        <v>0</v>
      </c>
      <c r="R7" s="186">
        <f t="shared" si="0"/>
        <v>0</v>
      </c>
      <c r="S7" s="186">
        <f t="shared" si="1"/>
        <v>1917.03</v>
      </c>
      <c r="T7" s="186">
        <f t="shared" si="2"/>
        <v>1917.03</v>
      </c>
      <c r="U7" s="179"/>
    </row>
    <row r="8" spans="1:21" s="119" customFormat="1" x14ac:dyDescent="0.2">
      <c r="A8" s="471" t="s">
        <v>279</v>
      </c>
      <c r="B8" s="467" t="s">
        <v>279</v>
      </c>
      <c r="C8" s="467" t="s">
        <v>819</v>
      </c>
      <c r="D8" s="469">
        <v>0</v>
      </c>
      <c r="E8" s="465" t="s">
        <v>897</v>
      </c>
      <c r="F8" s="229"/>
      <c r="G8" s="178" t="s">
        <v>31</v>
      </c>
      <c r="H8" s="224" t="s">
        <v>861</v>
      </c>
      <c r="I8" s="198">
        <v>45512</v>
      </c>
      <c r="J8" s="179"/>
      <c r="K8" s="199">
        <f t="shared" si="3"/>
        <v>895.21500000000003</v>
      </c>
      <c r="L8" s="199">
        <f t="shared" si="4"/>
        <v>895.21500000000003</v>
      </c>
      <c r="M8" s="199">
        <f>1734.21+56.22</f>
        <v>1790.43</v>
      </c>
      <c r="N8" s="453">
        <v>0</v>
      </c>
      <c r="O8" s="199">
        <v>120</v>
      </c>
      <c r="P8" s="181">
        <v>0</v>
      </c>
      <c r="Q8" s="225">
        <v>0</v>
      </c>
      <c r="R8" s="182">
        <f t="shared" si="0"/>
        <v>0</v>
      </c>
      <c r="S8" s="182">
        <f t="shared" si="1"/>
        <v>1790.43</v>
      </c>
      <c r="T8" s="182">
        <f t="shared" si="2"/>
        <v>1790.43</v>
      </c>
      <c r="U8" s="230"/>
    </row>
    <row r="9" spans="1:21" s="119" customFormat="1" x14ac:dyDescent="0.2">
      <c r="A9" s="468"/>
      <c r="B9" s="468"/>
      <c r="C9" s="468"/>
      <c r="D9" s="470"/>
      <c r="E9" s="465"/>
      <c r="F9" s="229"/>
      <c r="G9" s="178" t="s">
        <v>31</v>
      </c>
      <c r="H9" s="224" t="s">
        <v>862</v>
      </c>
      <c r="I9" s="198">
        <v>45513</v>
      </c>
      <c r="J9" s="179"/>
      <c r="K9" s="199">
        <f t="shared" si="3"/>
        <v>496.47</v>
      </c>
      <c r="L9" s="199">
        <f t="shared" si="4"/>
        <v>496.47</v>
      </c>
      <c r="M9" s="199">
        <f>938.74+54.2</f>
        <v>992.94</v>
      </c>
      <c r="N9" s="455"/>
      <c r="O9" s="199">
        <v>120</v>
      </c>
      <c r="P9" s="181">
        <v>0</v>
      </c>
      <c r="Q9" s="225">
        <v>0</v>
      </c>
      <c r="R9" s="182">
        <f t="shared" si="0"/>
        <v>0</v>
      </c>
      <c r="S9" s="182">
        <f t="shared" si="1"/>
        <v>992.94</v>
      </c>
      <c r="T9" s="182">
        <f t="shared" si="2"/>
        <v>992.94</v>
      </c>
      <c r="U9" s="230"/>
    </row>
    <row r="10" spans="1:21" x14ac:dyDescent="0.2">
      <c r="A10" s="456" t="s">
        <v>250</v>
      </c>
      <c r="B10" s="456" t="s">
        <v>250</v>
      </c>
      <c r="C10" s="467" t="s">
        <v>378</v>
      </c>
      <c r="D10" s="469">
        <v>0</v>
      </c>
      <c r="E10" s="459" t="s">
        <v>896</v>
      </c>
      <c r="F10" s="229"/>
      <c r="G10" s="178" t="s">
        <v>31</v>
      </c>
      <c r="H10" s="184" t="s">
        <v>863</v>
      </c>
      <c r="I10" s="198">
        <v>45513</v>
      </c>
      <c r="J10" s="179"/>
      <c r="K10" s="199">
        <f>1234+54.2</f>
        <v>1288.2</v>
      </c>
      <c r="L10" s="199">
        <v>0</v>
      </c>
      <c r="M10" s="199">
        <f>K10+L10</f>
        <v>1288.2</v>
      </c>
      <c r="N10" s="453">
        <v>0</v>
      </c>
      <c r="O10" s="199">
        <v>120</v>
      </c>
      <c r="P10" s="181">
        <v>0</v>
      </c>
      <c r="Q10" s="225">
        <v>0</v>
      </c>
      <c r="R10" s="182">
        <f t="shared" si="0"/>
        <v>0</v>
      </c>
      <c r="S10" s="182">
        <f t="shared" si="1"/>
        <v>1288.2</v>
      </c>
      <c r="T10" s="182">
        <f t="shared" si="2"/>
        <v>1288.2</v>
      </c>
      <c r="U10" s="230"/>
    </row>
    <row r="11" spans="1:21" x14ac:dyDescent="0.2">
      <c r="A11" s="457"/>
      <c r="B11" s="457"/>
      <c r="C11" s="468"/>
      <c r="D11" s="470"/>
      <c r="E11" s="461"/>
      <c r="F11" s="179"/>
      <c r="G11" s="178" t="s">
        <v>31</v>
      </c>
      <c r="H11" s="179" t="s">
        <v>864</v>
      </c>
      <c r="I11" s="198">
        <v>45515</v>
      </c>
      <c r="J11" s="179"/>
      <c r="K11" s="199">
        <f>532.21+400</f>
        <v>932.21</v>
      </c>
      <c r="L11" s="199">
        <v>0</v>
      </c>
      <c r="M11" s="199">
        <f>K11+L11</f>
        <v>932.21</v>
      </c>
      <c r="N11" s="455"/>
      <c r="O11" s="199">
        <v>120</v>
      </c>
      <c r="P11" s="181">
        <v>0</v>
      </c>
      <c r="Q11" s="225">
        <v>0</v>
      </c>
      <c r="R11" s="182">
        <f t="shared" si="0"/>
        <v>0</v>
      </c>
      <c r="S11" s="182">
        <f t="shared" si="1"/>
        <v>932.21</v>
      </c>
      <c r="T11" s="182">
        <f t="shared" si="2"/>
        <v>932.21</v>
      </c>
      <c r="U11" s="179"/>
    </row>
    <row r="12" spans="1:21" hidden="1" x14ac:dyDescent="0.2">
      <c r="A12" s="126" t="s">
        <v>279</v>
      </c>
      <c r="B12" s="126" t="s">
        <v>903</v>
      </c>
      <c r="C12" s="250" t="s">
        <v>930</v>
      </c>
      <c r="D12" s="247"/>
      <c r="E12" s="216" t="s">
        <v>931</v>
      </c>
      <c r="F12" s="169" t="s">
        <v>881</v>
      </c>
      <c r="G12" s="214" t="s">
        <v>31</v>
      </c>
      <c r="H12" s="174" t="s">
        <v>865</v>
      </c>
      <c r="I12" s="243">
        <v>45512</v>
      </c>
      <c r="J12" s="195">
        <v>45513</v>
      </c>
      <c r="K12" s="205">
        <f>1128.44+56.22</f>
        <v>1184.6600000000001</v>
      </c>
      <c r="L12" s="205">
        <f>515.43+32.1</f>
        <v>547.53</v>
      </c>
      <c r="M12" s="205">
        <f>K12+L12</f>
        <v>1732.19</v>
      </c>
      <c r="N12" s="169">
        <f>(J12-I12)+1</f>
        <v>2</v>
      </c>
      <c r="O12" s="205">
        <v>120</v>
      </c>
      <c r="P12" s="162">
        <v>0</v>
      </c>
      <c r="Q12" s="248">
        <v>0</v>
      </c>
      <c r="R12" s="249">
        <f t="shared" si="0"/>
        <v>240</v>
      </c>
      <c r="S12" s="249">
        <f t="shared" si="1"/>
        <v>1972.19</v>
      </c>
      <c r="T12" s="249">
        <f t="shared" si="2"/>
        <v>1972.19</v>
      </c>
      <c r="U12" s="169"/>
    </row>
    <row r="13" spans="1:21" ht="30" hidden="1" x14ac:dyDescent="0.2">
      <c r="A13" s="126" t="s">
        <v>279</v>
      </c>
      <c r="B13" s="126" t="s">
        <v>903</v>
      </c>
      <c r="C13" s="215" t="s">
        <v>929</v>
      </c>
      <c r="D13" s="247"/>
      <c r="E13" s="216" t="s">
        <v>664</v>
      </c>
      <c r="F13" s="169" t="s">
        <v>881</v>
      </c>
      <c r="G13" s="214" t="s">
        <v>31</v>
      </c>
      <c r="H13" s="174" t="s">
        <v>865</v>
      </c>
      <c r="I13" s="243">
        <v>45512</v>
      </c>
      <c r="J13" s="195">
        <v>45514</v>
      </c>
      <c r="K13" s="205">
        <f>M13/2</f>
        <v>639.48500000000001</v>
      </c>
      <c r="L13" s="205">
        <f>N13/2</f>
        <v>1</v>
      </c>
      <c r="M13" s="205">
        <f>1190.65+88.32</f>
        <v>1278.97</v>
      </c>
      <c r="N13" s="169">
        <v>2</v>
      </c>
      <c r="O13" s="205">
        <v>120</v>
      </c>
      <c r="P13" s="162">
        <v>0</v>
      </c>
      <c r="Q13" s="248">
        <v>0</v>
      </c>
      <c r="R13" s="249">
        <f t="shared" si="0"/>
        <v>240</v>
      </c>
      <c r="S13" s="249">
        <f t="shared" si="1"/>
        <v>1518.97</v>
      </c>
      <c r="T13" s="249">
        <f t="shared" si="2"/>
        <v>1518.97</v>
      </c>
      <c r="U13" s="220" t="s">
        <v>928</v>
      </c>
    </row>
    <row r="14" spans="1:21" ht="45" hidden="1" x14ac:dyDescent="0.2">
      <c r="A14" s="163" t="s">
        <v>250</v>
      </c>
      <c r="B14" s="242" t="s">
        <v>902</v>
      </c>
      <c r="C14" s="172" t="s">
        <v>878</v>
      </c>
      <c r="D14" s="161"/>
      <c r="E14" s="219" t="s">
        <v>899</v>
      </c>
      <c r="F14" s="169" t="s">
        <v>881</v>
      </c>
      <c r="G14" s="214" t="s">
        <v>31</v>
      </c>
      <c r="H14" s="174" t="s">
        <v>865</v>
      </c>
      <c r="I14" s="243">
        <v>45512</v>
      </c>
      <c r="J14" s="243">
        <v>45515</v>
      </c>
      <c r="K14" s="244">
        <f t="shared" si="3"/>
        <v>921.56</v>
      </c>
      <c r="L14" s="244">
        <f t="shared" si="4"/>
        <v>921.56</v>
      </c>
      <c r="M14" s="245">
        <v>1843.12</v>
      </c>
      <c r="N14" s="241">
        <v>2</v>
      </c>
      <c r="O14" s="256">
        <v>120</v>
      </c>
      <c r="P14" s="162">
        <v>0</v>
      </c>
      <c r="Q14" s="248">
        <v>0</v>
      </c>
      <c r="R14" s="249">
        <f t="shared" si="0"/>
        <v>240</v>
      </c>
      <c r="S14" s="249">
        <f t="shared" si="1"/>
        <v>2083.12</v>
      </c>
      <c r="T14" s="249">
        <f t="shared" si="2"/>
        <v>2083.12</v>
      </c>
      <c r="U14" s="220" t="s">
        <v>928</v>
      </c>
    </row>
    <row r="15" spans="1:21" ht="30" x14ac:dyDescent="0.2">
      <c r="A15" s="183" t="s">
        <v>229</v>
      </c>
      <c r="B15" s="183" t="s">
        <v>229</v>
      </c>
      <c r="C15" s="179" t="s">
        <v>858</v>
      </c>
      <c r="D15" s="181">
        <v>0</v>
      </c>
      <c r="E15" s="177" t="s">
        <v>90</v>
      </c>
      <c r="F15" s="179" t="s">
        <v>876</v>
      </c>
      <c r="G15" s="178" t="s">
        <v>31</v>
      </c>
      <c r="H15" s="179" t="s">
        <v>865</v>
      </c>
      <c r="I15" s="198">
        <v>45519</v>
      </c>
      <c r="J15" s="198">
        <v>45522</v>
      </c>
      <c r="K15" s="199">
        <f t="shared" si="3"/>
        <v>947.49</v>
      </c>
      <c r="L15" s="199">
        <f t="shared" si="4"/>
        <v>947.49</v>
      </c>
      <c r="M15" s="203">
        <v>1894.98</v>
      </c>
      <c r="N15" s="179">
        <v>0</v>
      </c>
      <c r="O15" s="199">
        <v>120</v>
      </c>
      <c r="P15" s="181">
        <v>0</v>
      </c>
      <c r="Q15" s="225">
        <v>0</v>
      </c>
      <c r="R15" s="182">
        <f t="shared" si="0"/>
        <v>0</v>
      </c>
      <c r="S15" s="182">
        <f t="shared" si="1"/>
        <v>1894.98</v>
      </c>
      <c r="T15" s="182">
        <f t="shared" si="2"/>
        <v>1894.98</v>
      </c>
      <c r="U15" s="462" t="s">
        <v>942</v>
      </c>
    </row>
    <row r="16" spans="1:21" ht="30" x14ac:dyDescent="0.2">
      <c r="A16" s="183" t="s">
        <v>229</v>
      </c>
      <c r="B16" s="183" t="s">
        <v>229</v>
      </c>
      <c r="C16" s="179" t="s">
        <v>858</v>
      </c>
      <c r="D16" s="181">
        <v>0</v>
      </c>
      <c r="E16" s="177" t="s">
        <v>90</v>
      </c>
      <c r="F16" s="179" t="s">
        <v>876</v>
      </c>
      <c r="G16" s="178" t="s">
        <v>31</v>
      </c>
      <c r="H16" s="179" t="s">
        <v>865</v>
      </c>
      <c r="I16" s="198" t="s">
        <v>941</v>
      </c>
      <c r="J16" s="198">
        <v>45521</v>
      </c>
      <c r="K16" s="199">
        <f>M16/2</f>
        <v>475.5</v>
      </c>
      <c r="L16" s="199">
        <f>M16/2</f>
        <v>475.5</v>
      </c>
      <c r="M16" s="203">
        <f>551+400</f>
        <v>951</v>
      </c>
      <c r="N16" s="179">
        <v>0</v>
      </c>
      <c r="O16" s="199">
        <v>120</v>
      </c>
      <c r="P16" s="181">
        <v>0</v>
      </c>
      <c r="Q16" s="225">
        <v>0</v>
      </c>
      <c r="R16" s="182">
        <f t="shared" si="0"/>
        <v>0</v>
      </c>
      <c r="S16" s="182">
        <f>R16+M16</f>
        <v>951</v>
      </c>
      <c r="T16" s="182">
        <f t="shared" ref="T16" si="5">S16</f>
        <v>951</v>
      </c>
      <c r="U16" s="464"/>
    </row>
    <row r="17" spans="1:21" x14ac:dyDescent="0.2">
      <c r="A17" s="183" t="s">
        <v>250</v>
      </c>
      <c r="B17" s="183" t="s">
        <v>250</v>
      </c>
      <c r="C17" s="224" t="s">
        <v>378</v>
      </c>
      <c r="D17" s="181">
        <v>0</v>
      </c>
      <c r="E17" s="177" t="s">
        <v>896</v>
      </c>
      <c r="F17" s="179" t="s">
        <v>882</v>
      </c>
      <c r="G17" s="178" t="s">
        <v>31</v>
      </c>
      <c r="H17" s="179" t="s">
        <v>866</v>
      </c>
      <c r="I17" s="198">
        <v>45525</v>
      </c>
      <c r="J17" s="198">
        <v>45527</v>
      </c>
      <c r="K17" s="199">
        <f t="shared" si="3"/>
        <v>1512.37</v>
      </c>
      <c r="L17" s="199">
        <f t="shared" si="4"/>
        <v>1512.37</v>
      </c>
      <c r="M17" s="203">
        <v>3024.74</v>
      </c>
      <c r="N17" s="179">
        <v>0</v>
      </c>
      <c r="O17" s="199">
        <v>120</v>
      </c>
      <c r="P17" s="181">
        <v>0</v>
      </c>
      <c r="Q17" s="225">
        <v>0</v>
      </c>
      <c r="R17" s="182">
        <f t="shared" si="0"/>
        <v>0</v>
      </c>
      <c r="S17" s="182">
        <f t="shared" si="1"/>
        <v>3024.74</v>
      </c>
      <c r="T17" s="182">
        <f t="shared" si="2"/>
        <v>3024.74</v>
      </c>
      <c r="U17" s="179" t="s">
        <v>892</v>
      </c>
    </row>
    <row r="18" spans="1:21" hidden="1" x14ac:dyDescent="0.2">
      <c r="A18" s="126" t="s">
        <v>250</v>
      </c>
      <c r="B18" s="126" t="s">
        <v>250</v>
      </c>
      <c r="C18" s="169" t="s">
        <v>670</v>
      </c>
      <c r="D18" s="94">
        <v>383</v>
      </c>
      <c r="E18" s="175" t="s">
        <v>900</v>
      </c>
      <c r="F18" s="169" t="s">
        <v>882</v>
      </c>
      <c r="G18" s="76" t="s">
        <v>31</v>
      </c>
      <c r="H18" s="169" t="s">
        <v>866</v>
      </c>
      <c r="I18" s="195">
        <v>45525</v>
      </c>
      <c r="J18" s="195">
        <v>45527</v>
      </c>
      <c r="K18" s="196">
        <f t="shared" si="3"/>
        <v>1512.37</v>
      </c>
      <c r="L18" s="196">
        <f t="shared" si="4"/>
        <v>1512.37</v>
      </c>
      <c r="M18" s="201">
        <v>3024.74</v>
      </c>
      <c r="N18" s="173">
        <v>3</v>
      </c>
      <c r="O18" s="196">
        <v>120</v>
      </c>
      <c r="P18" s="94">
        <v>0</v>
      </c>
      <c r="Q18" s="225">
        <v>0</v>
      </c>
      <c r="R18" s="182">
        <f t="shared" si="0"/>
        <v>360</v>
      </c>
      <c r="S18" s="171">
        <f t="shared" si="1"/>
        <v>3384.74</v>
      </c>
      <c r="T18" s="171">
        <f t="shared" si="2"/>
        <v>3384.74</v>
      </c>
      <c r="U18" s="169"/>
    </row>
    <row r="19" spans="1:21" ht="60" hidden="1" x14ac:dyDescent="0.2">
      <c r="A19" s="164" t="s">
        <v>279</v>
      </c>
      <c r="B19" s="215" t="s">
        <v>903</v>
      </c>
      <c r="C19" s="173" t="s">
        <v>447</v>
      </c>
      <c r="D19" s="160">
        <v>336</v>
      </c>
      <c r="E19" s="218" t="s">
        <v>309</v>
      </c>
      <c r="F19" s="173" t="s">
        <v>882</v>
      </c>
      <c r="G19" s="76" t="s">
        <v>31</v>
      </c>
      <c r="H19" s="194" t="s">
        <v>866</v>
      </c>
      <c r="I19" s="195">
        <v>45525</v>
      </c>
      <c r="J19" s="195">
        <v>45527</v>
      </c>
      <c r="K19" s="196">
        <f t="shared" si="3"/>
        <v>1293.59985024</v>
      </c>
      <c r="L19" s="196">
        <f t="shared" si="4"/>
        <v>1293.59985024</v>
      </c>
      <c r="M19" s="201">
        <v>2587.19970048</v>
      </c>
      <c r="N19" s="173">
        <v>3</v>
      </c>
      <c r="O19" s="255">
        <v>120</v>
      </c>
      <c r="P19" s="94">
        <v>0</v>
      </c>
      <c r="Q19" s="225">
        <v>0</v>
      </c>
      <c r="R19" s="182">
        <f t="shared" si="0"/>
        <v>360</v>
      </c>
      <c r="S19" s="171">
        <f t="shared" si="1"/>
        <v>2947.19970048</v>
      </c>
      <c r="T19" s="171">
        <f t="shared" si="2"/>
        <v>2947.19970048</v>
      </c>
      <c r="U19" s="169"/>
    </row>
    <row r="20" spans="1:21" ht="45" hidden="1" x14ac:dyDescent="0.2">
      <c r="A20" s="126" t="s">
        <v>250</v>
      </c>
      <c r="B20" s="126" t="s">
        <v>250</v>
      </c>
      <c r="C20" s="169" t="s">
        <v>92</v>
      </c>
      <c r="D20" s="94"/>
      <c r="E20" s="175" t="s">
        <v>536</v>
      </c>
      <c r="F20" s="175" t="s">
        <v>883</v>
      </c>
      <c r="G20" s="76" t="s">
        <v>31</v>
      </c>
      <c r="H20" s="169" t="s">
        <v>867</v>
      </c>
      <c r="I20" s="195">
        <v>45525</v>
      </c>
      <c r="J20" s="195">
        <v>45527</v>
      </c>
      <c r="K20" s="196">
        <f t="shared" si="3"/>
        <v>698.99</v>
      </c>
      <c r="L20" s="196">
        <f t="shared" si="4"/>
        <v>698.99</v>
      </c>
      <c r="M20" s="201">
        <v>1397.98</v>
      </c>
      <c r="N20" s="169">
        <f t="shared" ref="N20:N21" si="6">(J20-I20)+1</f>
        <v>3</v>
      </c>
      <c r="O20" s="196">
        <v>120</v>
      </c>
      <c r="P20" s="94">
        <v>0</v>
      </c>
      <c r="Q20" s="225">
        <v>0</v>
      </c>
      <c r="R20" s="182">
        <f t="shared" si="0"/>
        <v>360</v>
      </c>
      <c r="S20" s="171">
        <f t="shared" si="1"/>
        <v>1757.98</v>
      </c>
      <c r="T20" s="171">
        <f t="shared" si="2"/>
        <v>1757.98</v>
      </c>
      <c r="U20" s="169"/>
    </row>
    <row r="21" spans="1:21" ht="60" hidden="1" x14ac:dyDescent="0.2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69" t="s">
        <v>882</v>
      </c>
      <c r="G21" s="76" t="s">
        <v>31</v>
      </c>
      <c r="H21" s="169" t="s">
        <v>866</v>
      </c>
      <c r="I21" s="195">
        <v>45525</v>
      </c>
      <c r="J21" s="195">
        <v>45527</v>
      </c>
      <c r="K21" s="196">
        <f t="shared" si="3"/>
        <v>1512.37</v>
      </c>
      <c r="L21" s="196">
        <f t="shared" si="4"/>
        <v>1512.37</v>
      </c>
      <c r="M21" s="201">
        <v>3024.74</v>
      </c>
      <c r="N21" s="169">
        <f t="shared" si="6"/>
        <v>3</v>
      </c>
      <c r="O21" s="196">
        <v>120</v>
      </c>
      <c r="P21" s="94">
        <v>0</v>
      </c>
      <c r="Q21" s="225">
        <v>0</v>
      </c>
      <c r="R21" s="182">
        <f t="shared" si="0"/>
        <v>360</v>
      </c>
      <c r="S21" s="171">
        <f t="shared" si="1"/>
        <v>3384.74</v>
      </c>
      <c r="T21" s="171">
        <f t="shared" si="2"/>
        <v>3384.74</v>
      </c>
      <c r="U21" s="169"/>
    </row>
    <row r="22" spans="1:21" ht="30" x14ac:dyDescent="0.2">
      <c r="A22" s="456" t="s">
        <v>229</v>
      </c>
      <c r="B22" s="456" t="s">
        <v>229</v>
      </c>
      <c r="C22" s="453" t="s">
        <v>858</v>
      </c>
      <c r="D22" s="462">
        <v>0</v>
      </c>
      <c r="E22" s="459" t="s">
        <v>90</v>
      </c>
      <c r="F22" s="177" t="s">
        <v>874</v>
      </c>
      <c r="G22" s="178" t="s">
        <v>31</v>
      </c>
      <c r="H22" s="224" t="s">
        <v>879</v>
      </c>
      <c r="I22" s="237">
        <v>45523</v>
      </c>
      <c r="J22" s="237"/>
      <c r="K22" s="238">
        <f>M22</f>
        <v>764.6</v>
      </c>
      <c r="L22" s="238" t="s">
        <v>74</v>
      </c>
      <c r="M22" s="257">
        <f>708.38+56.22</f>
        <v>764.6</v>
      </c>
      <c r="N22" s="176">
        <v>0</v>
      </c>
      <c r="O22" s="199"/>
      <c r="P22" s="181">
        <v>0</v>
      </c>
      <c r="Q22" s="225">
        <v>0</v>
      </c>
      <c r="R22" s="182">
        <f t="shared" si="0"/>
        <v>0</v>
      </c>
      <c r="S22" s="182"/>
      <c r="T22" s="182"/>
      <c r="U22" s="179"/>
    </row>
    <row r="23" spans="1:21" x14ac:dyDescent="0.2">
      <c r="A23" s="466"/>
      <c r="B23" s="466"/>
      <c r="C23" s="454"/>
      <c r="D23" s="463"/>
      <c r="E23" s="460"/>
      <c r="F23" s="453" t="s">
        <v>875</v>
      </c>
      <c r="G23" s="178" t="s">
        <v>31</v>
      </c>
      <c r="H23" s="224" t="s">
        <v>868</v>
      </c>
      <c r="I23" s="237">
        <v>45525</v>
      </c>
      <c r="J23" s="224"/>
      <c r="K23" s="238">
        <f>M23</f>
        <v>616.29</v>
      </c>
      <c r="L23" s="238" t="s">
        <v>74</v>
      </c>
      <c r="M23" s="258">
        <f>571.3+44.99</f>
        <v>616.29</v>
      </c>
      <c r="N23" s="179">
        <v>0</v>
      </c>
      <c r="O23" s="199">
        <v>120</v>
      </c>
      <c r="P23" s="181">
        <v>0</v>
      </c>
      <c r="Q23" s="225">
        <v>0</v>
      </c>
      <c r="R23" s="182">
        <f t="shared" si="0"/>
        <v>0</v>
      </c>
      <c r="S23" s="182">
        <f t="shared" si="1"/>
        <v>616.29</v>
      </c>
      <c r="T23" s="182">
        <f t="shared" si="2"/>
        <v>616.29</v>
      </c>
      <c r="U23" s="179"/>
    </row>
    <row r="24" spans="1:21" ht="30" x14ac:dyDescent="0.2">
      <c r="A24" s="466"/>
      <c r="B24" s="466"/>
      <c r="C24" s="454"/>
      <c r="D24" s="463"/>
      <c r="E24" s="460"/>
      <c r="F24" s="454"/>
      <c r="G24" s="189" t="s">
        <v>31</v>
      </c>
      <c r="H24" s="259" t="s">
        <v>863</v>
      </c>
      <c r="I24" s="260"/>
      <c r="J24" s="260">
        <v>45526</v>
      </c>
      <c r="K24" s="239"/>
      <c r="L24" s="239">
        <f>M24</f>
        <v>709.91</v>
      </c>
      <c r="M24" s="261">
        <v>709.91</v>
      </c>
      <c r="N24" s="179">
        <v>0</v>
      </c>
      <c r="O24" s="204">
        <v>120</v>
      </c>
      <c r="P24" s="181">
        <v>0</v>
      </c>
      <c r="Q24" s="225">
        <v>0</v>
      </c>
      <c r="R24" s="182">
        <f t="shared" si="0"/>
        <v>0</v>
      </c>
      <c r="S24" s="190">
        <f t="shared" si="1"/>
        <v>709.91</v>
      </c>
      <c r="T24" s="190">
        <f t="shared" si="2"/>
        <v>709.91</v>
      </c>
      <c r="U24" s="231" t="s">
        <v>935</v>
      </c>
    </row>
    <row r="25" spans="1:21" ht="30" x14ac:dyDescent="0.2">
      <c r="A25" s="457"/>
      <c r="B25" s="457"/>
      <c r="C25" s="455"/>
      <c r="D25" s="464"/>
      <c r="E25" s="461"/>
      <c r="F25" s="455"/>
      <c r="G25" s="189" t="s">
        <v>31</v>
      </c>
      <c r="H25" s="259" t="s">
        <v>863</v>
      </c>
      <c r="I25" s="260"/>
      <c r="J25" s="260">
        <v>45526</v>
      </c>
      <c r="K25" s="239"/>
      <c r="L25" s="239">
        <v>1170.17</v>
      </c>
      <c r="M25" s="261">
        <f>L25</f>
        <v>1170.17</v>
      </c>
      <c r="N25" s="179">
        <v>0</v>
      </c>
      <c r="O25" s="204">
        <v>120</v>
      </c>
      <c r="P25" s="181"/>
      <c r="Q25" s="225">
        <v>0</v>
      </c>
      <c r="R25" s="182">
        <f t="shared" si="0"/>
        <v>0</v>
      </c>
      <c r="S25" s="190">
        <f t="shared" si="1"/>
        <v>1170.17</v>
      </c>
      <c r="T25" s="190">
        <f t="shared" si="2"/>
        <v>1170.17</v>
      </c>
      <c r="U25" s="231" t="s">
        <v>936</v>
      </c>
    </row>
    <row r="26" spans="1:21" s="167" customFormat="1" ht="30" hidden="1" customHeight="1" x14ac:dyDescent="0.2">
      <c r="A26" s="126" t="s">
        <v>229</v>
      </c>
      <c r="B26" s="215" t="s">
        <v>904</v>
      </c>
      <c r="C26" s="169" t="s">
        <v>872</v>
      </c>
      <c r="D26" s="94">
        <v>390</v>
      </c>
      <c r="E26" s="216" t="s">
        <v>905</v>
      </c>
      <c r="F26" s="175" t="s">
        <v>874</v>
      </c>
      <c r="G26" s="76" t="s">
        <v>31</v>
      </c>
      <c r="H26" s="169" t="s">
        <v>880</v>
      </c>
      <c r="I26" s="195">
        <v>45523</v>
      </c>
      <c r="J26" s="195">
        <v>45525</v>
      </c>
      <c r="K26" s="205">
        <f>708.38+56.22</f>
        <v>764.6</v>
      </c>
      <c r="L26" s="205">
        <f>1086.88+44.99</f>
        <v>1131.8700000000001</v>
      </c>
      <c r="M26" s="205">
        <f>K26+L26</f>
        <v>1896.4700000000003</v>
      </c>
      <c r="N26" s="169">
        <f>(J26-I26)+1</f>
        <v>3</v>
      </c>
      <c r="O26" s="205">
        <v>120</v>
      </c>
      <c r="P26" s="94">
        <v>0</v>
      </c>
      <c r="Q26" s="225">
        <v>0</v>
      </c>
      <c r="R26" s="182">
        <f t="shared" si="0"/>
        <v>360</v>
      </c>
      <c r="S26" s="190">
        <f t="shared" si="1"/>
        <v>2256.4700000000003</v>
      </c>
      <c r="T26" s="190">
        <f t="shared" si="2"/>
        <v>2256.4700000000003</v>
      </c>
      <c r="U26" s="169"/>
    </row>
    <row r="27" spans="1:21" s="167" customFormat="1" ht="30" customHeight="1" x14ac:dyDescent="0.2">
      <c r="A27" s="183" t="s">
        <v>229</v>
      </c>
      <c r="B27" s="183" t="s">
        <v>229</v>
      </c>
      <c r="C27" s="179" t="s">
        <v>858</v>
      </c>
      <c r="D27" s="181">
        <v>0</v>
      </c>
      <c r="E27" s="223" t="s">
        <v>90</v>
      </c>
      <c r="F27" s="224" t="s">
        <v>877</v>
      </c>
      <c r="G27" s="178" t="s">
        <v>31</v>
      </c>
      <c r="H27" s="179" t="s">
        <v>860</v>
      </c>
      <c r="I27" s="198">
        <v>45531</v>
      </c>
      <c r="J27" s="198">
        <v>45533</v>
      </c>
      <c r="K27" s="203">
        <f>M27/2</f>
        <v>557.99</v>
      </c>
      <c r="L27" s="203">
        <f>M27/2</f>
        <v>557.99</v>
      </c>
      <c r="M27" s="203">
        <v>1115.98</v>
      </c>
      <c r="N27" s="179">
        <v>0</v>
      </c>
      <c r="O27" s="203">
        <v>120</v>
      </c>
      <c r="P27" s="179">
        <v>0</v>
      </c>
      <c r="Q27" s="225">
        <v>0</v>
      </c>
      <c r="R27" s="182">
        <f t="shared" si="0"/>
        <v>0</v>
      </c>
      <c r="S27" s="190">
        <f t="shared" si="1"/>
        <v>1115.98</v>
      </c>
      <c r="T27" s="190">
        <f t="shared" si="2"/>
        <v>1115.98</v>
      </c>
      <c r="U27" s="179"/>
    </row>
    <row r="28" spans="1:21" ht="30" x14ac:dyDescent="0.2">
      <c r="A28" s="183" t="s">
        <v>229</v>
      </c>
      <c r="B28" s="183" t="s">
        <v>229</v>
      </c>
      <c r="C28" s="179" t="s">
        <v>858</v>
      </c>
      <c r="D28" s="181">
        <v>0</v>
      </c>
      <c r="E28" s="223" t="s">
        <v>90</v>
      </c>
      <c r="F28" s="224" t="s">
        <v>877</v>
      </c>
      <c r="G28" s="178" t="s">
        <v>31</v>
      </c>
      <c r="H28" s="179" t="s">
        <v>860</v>
      </c>
      <c r="I28" s="198">
        <v>45531</v>
      </c>
      <c r="J28" s="198">
        <v>45533</v>
      </c>
      <c r="K28" s="199">
        <f t="shared" ref="K28" si="7">M28/2</f>
        <v>374.95499999999998</v>
      </c>
      <c r="L28" s="199">
        <f>M28/2</f>
        <v>374.95499999999998</v>
      </c>
      <c r="M28" s="203">
        <v>749.91</v>
      </c>
      <c r="N28" s="179">
        <v>0</v>
      </c>
      <c r="O28" s="199">
        <v>120</v>
      </c>
      <c r="P28" s="181">
        <v>0</v>
      </c>
      <c r="Q28" s="225">
        <v>0</v>
      </c>
      <c r="R28" s="182">
        <f t="shared" si="0"/>
        <v>0</v>
      </c>
      <c r="S28" s="190">
        <f t="shared" si="1"/>
        <v>749.91</v>
      </c>
      <c r="T28" s="182">
        <f>S28</f>
        <v>749.91</v>
      </c>
      <c r="U28" s="254" t="s">
        <v>937</v>
      </c>
    </row>
    <row r="29" spans="1:21" s="167" customFormat="1" ht="30" hidden="1" customHeight="1" x14ac:dyDescent="0.2">
      <c r="A29" s="126" t="s">
        <v>250</v>
      </c>
      <c r="B29" s="126" t="s">
        <v>250</v>
      </c>
      <c r="C29" s="169" t="s">
        <v>873</v>
      </c>
      <c r="D29" s="94">
        <v>383</v>
      </c>
      <c r="E29" s="216" t="s">
        <v>900</v>
      </c>
      <c r="F29" s="175" t="s">
        <v>884</v>
      </c>
      <c r="G29" s="76" t="s">
        <v>31</v>
      </c>
      <c r="H29" s="169" t="s">
        <v>865</v>
      </c>
      <c r="I29" s="195">
        <v>45529</v>
      </c>
      <c r="J29" s="195">
        <v>45532</v>
      </c>
      <c r="K29" s="205">
        <f>1877.9+56.22</f>
        <v>1934.1200000000001</v>
      </c>
      <c r="L29" s="205">
        <f>786.8+32.1</f>
        <v>818.9</v>
      </c>
      <c r="M29" s="205">
        <f>K29+L29</f>
        <v>2753.02</v>
      </c>
      <c r="N29" s="169">
        <f>(J29-I29)+1</f>
        <v>4</v>
      </c>
      <c r="O29" s="196">
        <v>120</v>
      </c>
      <c r="P29" s="94">
        <v>0</v>
      </c>
      <c r="Q29" s="225">
        <v>0</v>
      </c>
      <c r="R29" s="182">
        <f t="shared" si="0"/>
        <v>480</v>
      </c>
      <c r="S29" s="190">
        <f t="shared" si="1"/>
        <v>3233.02</v>
      </c>
      <c r="T29" s="188"/>
      <c r="U29" s="213" t="s">
        <v>895</v>
      </c>
    </row>
    <row r="30" spans="1:21" hidden="1" x14ac:dyDescent="0.25">
      <c r="A30" s="446" t="s">
        <v>279</v>
      </c>
      <c r="B30" s="446" t="s">
        <v>903</v>
      </c>
      <c r="C30" s="446" t="s">
        <v>135</v>
      </c>
      <c r="D30" s="397">
        <v>230</v>
      </c>
      <c r="E30" s="449" t="s">
        <v>411</v>
      </c>
      <c r="F30" s="446" t="s">
        <v>884</v>
      </c>
      <c r="G30" s="76" t="s">
        <v>31</v>
      </c>
      <c r="H30" s="169" t="s">
        <v>885</v>
      </c>
      <c r="I30" s="195">
        <v>45529</v>
      </c>
      <c r="J30" s="207">
        <v>45532</v>
      </c>
      <c r="K30" s="201">
        <f>455.71+54.2</f>
        <v>509.90999999999997</v>
      </c>
      <c r="L30" s="201">
        <f>597.57+32.1</f>
        <v>629.67000000000007</v>
      </c>
      <c r="M30" s="201">
        <f>K30+L30</f>
        <v>1139.58</v>
      </c>
      <c r="N30" s="169">
        <f>(J30-I30)+1</f>
        <v>4</v>
      </c>
      <c r="O30" s="196">
        <v>120</v>
      </c>
      <c r="P30" s="94">
        <v>0</v>
      </c>
      <c r="Q30" s="225">
        <v>0</v>
      </c>
      <c r="R30" s="182">
        <f t="shared" si="0"/>
        <v>480</v>
      </c>
      <c r="S30" s="190">
        <f t="shared" si="1"/>
        <v>1619.58</v>
      </c>
      <c r="T30" s="171">
        <f t="shared" ref="T30:T49" si="8">S30</f>
        <v>1619.58</v>
      </c>
      <c r="U30" s="168" t="s">
        <v>891</v>
      </c>
    </row>
    <row r="31" spans="1:21" hidden="1" x14ac:dyDescent="0.25">
      <c r="A31" s="447"/>
      <c r="B31" s="447"/>
      <c r="C31" s="447"/>
      <c r="D31" s="431"/>
      <c r="E31" s="450"/>
      <c r="F31" s="447"/>
      <c r="G31" s="76" t="s">
        <v>31</v>
      </c>
      <c r="H31" s="169" t="s">
        <v>870</v>
      </c>
      <c r="I31" s="195">
        <v>45532</v>
      </c>
      <c r="J31" s="195">
        <v>45532</v>
      </c>
      <c r="K31" s="201">
        <f>571.16+400</f>
        <v>971.16</v>
      </c>
      <c r="L31" s="201">
        <v>0</v>
      </c>
      <c r="M31" s="201">
        <f t="shared" ref="M31:M38" si="9">K31+L31</f>
        <v>971.16</v>
      </c>
      <c r="N31" s="169" t="s">
        <v>74</v>
      </c>
      <c r="O31" s="196">
        <v>120</v>
      </c>
      <c r="P31" s="94">
        <v>0</v>
      </c>
      <c r="Q31" s="225">
        <v>0</v>
      </c>
      <c r="R31" s="182" t="e">
        <f t="shared" si="0"/>
        <v>#VALUE!</v>
      </c>
      <c r="S31" s="190" t="e">
        <f t="shared" si="1"/>
        <v>#VALUE!</v>
      </c>
      <c r="T31" s="171" t="s">
        <v>74</v>
      </c>
      <c r="U31" s="168" t="s">
        <v>886</v>
      </c>
    </row>
    <row r="32" spans="1:21" hidden="1" x14ac:dyDescent="0.25">
      <c r="A32" s="448"/>
      <c r="B32" s="448"/>
      <c r="C32" s="448"/>
      <c r="D32" s="398"/>
      <c r="E32" s="451"/>
      <c r="F32" s="448"/>
      <c r="G32" s="76" t="s">
        <v>31</v>
      </c>
      <c r="H32" s="169" t="s">
        <v>864</v>
      </c>
      <c r="I32" s="195">
        <v>45532</v>
      </c>
      <c r="J32" s="195">
        <v>45532</v>
      </c>
      <c r="K32" s="201">
        <f>1338.83+32.1</f>
        <v>1370.9299999999998</v>
      </c>
      <c r="L32" s="201">
        <v>0</v>
      </c>
      <c r="M32" s="201">
        <f t="shared" si="9"/>
        <v>1370.9299999999998</v>
      </c>
      <c r="N32" s="169" t="s">
        <v>74</v>
      </c>
      <c r="O32" s="196">
        <v>120</v>
      </c>
      <c r="P32" s="94">
        <v>0</v>
      </c>
      <c r="Q32" s="225">
        <v>0</v>
      </c>
      <c r="R32" s="182" t="e">
        <f t="shared" si="0"/>
        <v>#VALUE!</v>
      </c>
      <c r="S32" s="190" t="e">
        <f t="shared" si="1"/>
        <v>#VALUE!</v>
      </c>
      <c r="T32" s="171" t="s">
        <v>74</v>
      </c>
      <c r="U32" s="168" t="s">
        <v>887</v>
      </c>
    </row>
    <row r="33" spans="1:21" ht="30" x14ac:dyDescent="0.25">
      <c r="A33" s="453" t="s">
        <v>279</v>
      </c>
      <c r="B33" s="453" t="s">
        <v>279</v>
      </c>
      <c r="C33" s="453" t="s">
        <v>819</v>
      </c>
      <c r="D33" s="462">
        <v>0</v>
      </c>
      <c r="E33" s="459" t="s">
        <v>897</v>
      </c>
      <c r="F33" s="453" t="s">
        <v>884</v>
      </c>
      <c r="G33" s="178" t="s">
        <v>31</v>
      </c>
      <c r="H33" s="179" t="s">
        <v>940</v>
      </c>
      <c r="I33" s="198">
        <v>45529</v>
      </c>
      <c r="J33" s="198" t="s">
        <v>74</v>
      </c>
      <c r="K33" s="203">
        <v>2054.48</v>
      </c>
      <c r="L33" s="203" t="s">
        <v>74</v>
      </c>
      <c r="M33" s="203">
        <f>K33</f>
        <v>2054.48</v>
      </c>
      <c r="N33" s="179">
        <v>0</v>
      </c>
      <c r="O33" s="199">
        <v>120</v>
      </c>
      <c r="P33" s="181">
        <v>0</v>
      </c>
      <c r="Q33" s="225">
        <v>0</v>
      </c>
      <c r="R33" s="182">
        <f t="shared" si="0"/>
        <v>0</v>
      </c>
      <c r="S33" s="190">
        <f t="shared" si="1"/>
        <v>2054.48</v>
      </c>
      <c r="T33" s="182">
        <f t="shared" si="8"/>
        <v>2054.48</v>
      </c>
      <c r="U33" s="228" t="s">
        <v>890</v>
      </c>
    </row>
    <row r="34" spans="1:21" x14ac:dyDescent="0.25">
      <c r="A34" s="454"/>
      <c r="B34" s="454"/>
      <c r="C34" s="454"/>
      <c r="D34" s="463"/>
      <c r="E34" s="460"/>
      <c r="F34" s="454"/>
      <c r="G34" s="178" t="s">
        <v>31</v>
      </c>
      <c r="H34" s="179" t="s">
        <v>870</v>
      </c>
      <c r="I34" s="198" t="s">
        <v>74</v>
      </c>
      <c r="J34" s="198">
        <v>45532</v>
      </c>
      <c r="K34" s="203" t="s">
        <v>74</v>
      </c>
      <c r="L34" s="203">
        <f>M34</f>
        <v>570.53</v>
      </c>
      <c r="M34" s="203">
        <v>570.53</v>
      </c>
      <c r="N34" s="179">
        <v>0</v>
      </c>
      <c r="O34" s="199">
        <v>120</v>
      </c>
      <c r="P34" s="181">
        <v>0</v>
      </c>
      <c r="Q34" s="225">
        <v>0</v>
      </c>
      <c r="R34" s="182">
        <f t="shared" si="0"/>
        <v>0</v>
      </c>
      <c r="S34" s="190">
        <f t="shared" si="1"/>
        <v>570.53</v>
      </c>
      <c r="T34" s="182">
        <f t="shared" si="8"/>
        <v>570.53</v>
      </c>
      <c r="U34" s="227" t="s">
        <v>889</v>
      </c>
    </row>
    <row r="35" spans="1:21" x14ac:dyDescent="0.25">
      <c r="A35" s="454"/>
      <c r="B35" s="454"/>
      <c r="C35" s="454"/>
      <c r="D35" s="463"/>
      <c r="E35" s="460"/>
      <c r="F35" s="454"/>
      <c r="G35" s="475" t="s">
        <v>31</v>
      </c>
      <c r="H35" s="179" t="s">
        <v>864</v>
      </c>
      <c r="I35" s="198" t="s">
        <v>74</v>
      </c>
      <c r="J35" s="198">
        <v>45532</v>
      </c>
      <c r="K35" s="203" t="s">
        <v>74</v>
      </c>
      <c r="L35" s="203">
        <f>M35</f>
        <v>1238.44</v>
      </c>
      <c r="M35" s="203">
        <v>1238.44</v>
      </c>
      <c r="N35" s="179">
        <v>0</v>
      </c>
      <c r="O35" s="199">
        <v>120</v>
      </c>
      <c r="P35" s="181">
        <v>0</v>
      </c>
      <c r="Q35" s="225">
        <v>0</v>
      </c>
      <c r="R35" s="182">
        <f t="shared" si="0"/>
        <v>0</v>
      </c>
      <c r="S35" s="190">
        <f t="shared" si="1"/>
        <v>1238.44</v>
      </c>
      <c r="T35" s="182">
        <f t="shared" si="8"/>
        <v>1238.44</v>
      </c>
      <c r="U35" s="227" t="s">
        <v>888</v>
      </c>
    </row>
    <row r="36" spans="1:21" x14ac:dyDescent="0.25">
      <c r="A36" s="455"/>
      <c r="B36" s="455"/>
      <c r="C36" s="455"/>
      <c r="D36" s="464"/>
      <c r="E36" s="461"/>
      <c r="F36" s="455"/>
      <c r="G36" s="476"/>
      <c r="H36" s="179" t="s">
        <v>864</v>
      </c>
      <c r="I36" s="198" t="s">
        <v>74</v>
      </c>
      <c r="J36" s="198">
        <v>45532</v>
      </c>
      <c r="K36" s="203" t="s">
        <v>74</v>
      </c>
      <c r="L36" s="203">
        <f>M36</f>
        <v>914.64</v>
      </c>
      <c r="M36" s="203">
        <v>914.64</v>
      </c>
      <c r="N36" s="179">
        <v>0</v>
      </c>
      <c r="O36" s="199">
        <v>120</v>
      </c>
      <c r="P36" s="181">
        <v>0</v>
      </c>
      <c r="Q36" s="225">
        <v>0</v>
      </c>
      <c r="R36" s="182">
        <f t="shared" si="0"/>
        <v>0</v>
      </c>
      <c r="S36" s="190">
        <f t="shared" si="1"/>
        <v>914.64</v>
      </c>
      <c r="T36" s="182">
        <f t="shared" si="8"/>
        <v>914.64</v>
      </c>
      <c r="U36" s="227"/>
    </row>
    <row r="37" spans="1:21" x14ac:dyDescent="0.25">
      <c r="A37" s="456" t="s">
        <v>250</v>
      </c>
      <c r="B37" s="456" t="s">
        <v>250</v>
      </c>
      <c r="C37" s="453" t="s">
        <v>378</v>
      </c>
      <c r="D37" s="462">
        <v>0</v>
      </c>
      <c r="E37" s="465" t="s">
        <v>896</v>
      </c>
      <c r="F37" s="458" t="s">
        <v>884</v>
      </c>
      <c r="G37" s="178" t="s">
        <v>31</v>
      </c>
      <c r="H37" s="179" t="s">
        <v>865</v>
      </c>
      <c r="I37" s="198">
        <v>45529</v>
      </c>
      <c r="J37" s="226">
        <v>45532</v>
      </c>
      <c r="K37" s="203">
        <f>1877.9+56.22</f>
        <v>1934.1200000000001</v>
      </c>
      <c r="L37" s="203">
        <f>786.8+32.1</f>
        <v>818.9</v>
      </c>
      <c r="M37" s="203">
        <f t="shared" si="9"/>
        <v>2753.02</v>
      </c>
      <c r="N37" s="179">
        <v>0</v>
      </c>
      <c r="O37" s="199">
        <v>120</v>
      </c>
      <c r="P37" s="181">
        <v>0</v>
      </c>
      <c r="Q37" s="225">
        <v>0</v>
      </c>
      <c r="R37" s="182">
        <f t="shared" si="0"/>
        <v>0</v>
      </c>
      <c r="S37" s="190">
        <f t="shared" si="1"/>
        <v>2753.02</v>
      </c>
      <c r="T37" s="182">
        <f t="shared" si="8"/>
        <v>2753.02</v>
      </c>
      <c r="U37" s="227" t="s">
        <v>893</v>
      </c>
    </row>
    <row r="38" spans="1:21" ht="30" x14ac:dyDescent="0.25">
      <c r="A38" s="457"/>
      <c r="B38" s="457"/>
      <c r="C38" s="455"/>
      <c r="D38" s="464"/>
      <c r="E38" s="465"/>
      <c r="F38" s="458"/>
      <c r="G38" s="178" t="s">
        <v>31</v>
      </c>
      <c r="H38" s="179" t="s">
        <v>869</v>
      </c>
      <c r="I38" s="198">
        <v>45532</v>
      </c>
      <c r="J38" s="198">
        <v>45532</v>
      </c>
      <c r="K38" s="203">
        <f>571.16+400</f>
        <v>971.16</v>
      </c>
      <c r="L38" s="203">
        <v>0</v>
      </c>
      <c r="M38" s="203">
        <f t="shared" si="9"/>
        <v>971.16</v>
      </c>
      <c r="N38" s="179">
        <v>0</v>
      </c>
      <c r="O38" s="199">
        <v>120</v>
      </c>
      <c r="P38" s="181">
        <v>0</v>
      </c>
      <c r="Q38" s="225">
        <v>0</v>
      </c>
      <c r="R38" s="182">
        <f t="shared" si="0"/>
        <v>0</v>
      </c>
      <c r="S38" s="190">
        <f t="shared" si="1"/>
        <v>971.16</v>
      </c>
      <c r="T38" s="182">
        <f t="shared" si="8"/>
        <v>971.16</v>
      </c>
      <c r="U38" s="228" t="s">
        <v>894</v>
      </c>
    </row>
    <row r="39" spans="1:21" ht="60" x14ac:dyDescent="0.2">
      <c r="A39" s="154" t="s">
        <v>250</v>
      </c>
      <c r="B39" s="215" t="s">
        <v>901</v>
      </c>
      <c r="C39" s="164" t="s">
        <v>802</v>
      </c>
      <c r="D39" s="217">
        <v>404</v>
      </c>
      <c r="E39" s="175" t="s">
        <v>898</v>
      </c>
      <c r="F39" s="191" t="s">
        <v>871</v>
      </c>
      <c r="G39" s="76" t="s">
        <v>31</v>
      </c>
      <c r="H39" s="164" t="s">
        <v>860</v>
      </c>
      <c r="I39" s="195">
        <v>45510</v>
      </c>
      <c r="J39" s="195">
        <v>45511</v>
      </c>
      <c r="K39" s="196">
        <f>M39/2</f>
        <v>1250.6099999999999</v>
      </c>
      <c r="L39" s="196">
        <f>M39/2</f>
        <v>1250.6099999999999</v>
      </c>
      <c r="M39" s="196">
        <v>2501.2199999999998</v>
      </c>
      <c r="N39" s="169">
        <f>(J39-I39)+1</f>
        <v>2</v>
      </c>
      <c r="O39" s="197">
        <v>120</v>
      </c>
      <c r="P39" s="94">
        <v>0</v>
      </c>
      <c r="Q39" s="130">
        <v>0</v>
      </c>
      <c r="R39" s="70">
        <f t="shared" si="0"/>
        <v>240</v>
      </c>
      <c r="S39" s="70">
        <f t="shared" si="1"/>
        <v>2741.22</v>
      </c>
      <c r="T39" s="70">
        <f t="shared" si="8"/>
        <v>2741.22</v>
      </c>
      <c r="U39" s="169"/>
    </row>
    <row r="40" spans="1:21" ht="45" x14ac:dyDescent="0.2">
      <c r="A40" s="126" t="s">
        <v>229</v>
      </c>
      <c r="B40" s="126" t="s">
        <v>229</v>
      </c>
      <c r="C40" s="194" t="s">
        <v>757</v>
      </c>
      <c r="D40" s="222">
        <v>392</v>
      </c>
      <c r="E40" s="175" t="s">
        <v>798</v>
      </c>
      <c r="F40" s="191" t="s">
        <v>871</v>
      </c>
      <c r="G40" s="76" t="s">
        <v>31</v>
      </c>
      <c r="H40" s="164" t="s">
        <v>860</v>
      </c>
      <c r="I40" s="195">
        <v>45510</v>
      </c>
      <c r="J40" s="195">
        <v>45511</v>
      </c>
      <c r="K40" s="196">
        <f t="shared" ref="K40" si="10">M40/2</f>
        <v>1341.84</v>
      </c>
      <c r="L40" s="196">
        <f t="shared" ref="L40" si="11">M40/2</f>
        <v>1341.84</v>
      </c>
      <c r="M40" s="196">
        <v>2683.68</v>
      </c>
      <c r="N40" s="169">
        <f>(J40-I40)+1</f>
        <v>2</v>
      </c>
      <c r="O40" s="197">
        <v>120</v>
      </c>
      <c r="P40" s="94">
        <v>0</v>
      </c>
      <c r="Q40" s="130">
        <v>0</v>
      </c>
      <c r="R40" s="70">
        <f t="shared" si="0"/>
        <v>240</v>
      </c>
      <c r="S40" s="70">
        <f t="shared" si="1"/>
        <v>2923.68</v>
      </c>
      <c r="T40" s="70">
        <f t="shared" si="8"/>
        <v>2923.68</v>
      </c>
      <c r="U40" s="169"/>
    </row>
    <row r="41" spans="1:21" x14ac:dyDescent="0.2">
      <c r="A41" s="126" t="s">
        <v>279</v>
      </c>
      <c r="B41" s="126" t="s">
        <v>903</v>
      </c>
      <c r="C41" s="250" t="s">
        <v>930</v>
      </c>
      <c r="D41" s="247"/>
      <c r="E41" s="216" t="s">
        <v>931</v>
      </c>
      <c r="F41" s="169" t="s">
        <v>881</v>
      </c>
      <c r="G41" s="214" t="s">
        <v>31</v>
      </c>
      <c r="H41" s="174" t="s">
        <v>865</v>
      </c>
      <c r="I41" s="243">
        <v>45512</v>
      </c>
      <c r="J41" s="195">
        <v>45513</v>
      </c>
      <c r="K41" s="205">
        <f>1128.44+56.22</f>
        <v>1184.6600000000001</v>
      </c>
      <c r="L41" s="205">
        <f>515.43+32.1</f>
        <v>547.53</v>
      </c>
      <c r="M41" s="205">
        <f>K41+L41</f>
        <v>1732.19</v>
      </c>
      <c r="N41" s="169">
        <f>(J41-I41)+1</f>
        <v>2</v>
      </c>
      <c r="O41" s="235">
        <v>120</v>
      </c>
      <c r="P41" s="162">
        <v>0</v>
      </c>
      <c r="Q41" s="248">
        <v>0</v>
      </c>
      <c r="R41" s="249">
        <f t="shared" si="0"/>
        <v>240</v>
      </c>
      <c r="S41" s="249">
        <f t="shared" si="1"/>
        <v>1972.19</v>
      </c>
      <c r="T41" s="249">
        <f t="shared" si="8"/>
        <v>1972.19</v>
      </c>
      <c r="U41" s="169"/>
    </row>
    <row r="42" spans="1:21" ht="30" x14ac:dyDescent="0.2">
      <c r="A42" s="126" t="s">
        <v>279</v>
      </c>
      <c r="B42" s="126" t="s">
        <v>903</v>
      </c>
      <c r="C42" s="215" t="s">
        <v>929</v>
      </c>
      <c r="D42" s="247"/>
      <c r="E42" s="216" t="s">
        <v>664</v>
      </c>
      <c r="F42" s="169" t="s">
        <v>881</v>
      </c>
      <c r="G42" s="214" t="s">
        <v>31</v>
      </c>
      <c r="H42" s="174" t="s">
        <v>865</v>
      </c>
      <c r="I42" s="243">
        <v>45512</v>
      </c>
      <c r="J42" s="195">
        <v>45514</v>
      </c>
      <c r="K42" s="205">
        <f>M42/2</f>
        <v>639.48500000000001</v>
      </c>
      <c r="L42" s="205">
        <f>N42/2</f>
        <v>1</v>
      </c>
      <c r="M42" s="205">
        <f>1190.65+88.32</f>
        <v>1278.97</v>
      </c>
      <c r="N42" s="169">
        <v>2</v>
      </c>
      <c r="O42" s="235">
        <v>120</v>
      </c>
      <c r="P42" s="162">
        <v>0</v>
      </c>
      <c r="Q42" s="248">
        <v>0</v>
      </c>
      <c r="R42" s="249">
        <f t="shared" si="0"/>
        <v>240</v>
      </c>
      <c r="S42" s="249">
        <f t="shared" si="1"/>
        <v>1518.97</v>
      </c>
      <c r="T42" s="249">
        <f t="shared" si="8"/>
        <v>1518.97</v>
      </c>
      <c r="U42" s="220" t="s">
        <v>928</v>
      </c>
    </row>
    <row r="43" spans="1:21" ht="45" x14ac:dyDescent="0.2">
      <c r="A43" s="163" t="s">
        <v>250</v>
      </c>
      <c r="B43" s="242" t="s">
        <v>902</v>
      </c>
      <c r="C43" s="172" t="s">
        <v>878</v>
      </c>
      <c r="D43" s="161"/>
      <c r="E43" s="219" t="s">
        <v>899</v>
      </c>
      <c r="F43" s="169" t="s">
        <v>881</v>
      </c>
      <c r="G43" s="214" t="s">
        <v>31</v>
      </c>
      <c r="H43" s="174" t="s">
        <v>865</v>
      </c>
      <c r="I43" s="243">
        <v>45512</v>
      </c>
      <c r="J43" s="243">
        <v>45515</v>
      </c>
      <c r="K43" s="244">
        <f t="shared" ref="K43:K47" si="12">M43/2</f>
        <v>921.56</v>
      </c>
      <c r="L43" s="244">
        <f t="shared" ref="L43:L47" si="13">M43/2</f>
        <v>921.56</v>
      </c>
      <c r="M43" s="245">
        <v>1843.12</v>
      </c>
      <c r="N43" s="241">
        <v>2</v>
      </c>
      <c r="O43" s="246">
        <v>120</v>
      </c>
      <c r="P43" s="162">
        <v>0</v>
      </c>
      <c r="Q43" s="248">
        <v>0</v>
      </c>
      <c r="R43" s="249">
        <f t="shared" si="0"/>
        <v>240</v>
      </c>
      <c r="S43" s="249">
        <f t="shared" si="1"/>
        <v>2083.12</v>
      </c>
      <c r="T43" s="249">
        <f t="shared" si="8"/>
        <v>2083.12</v>
      </c>
      <c r="U43" s="220" t="s">
        <v>928</v>
      </c>
    </row>
    <row r="44" spans="1:21" x14ac:dyDescent="0.2">
      <c r="A44" s="126" t="s">
        <v>250</v>
      </c>
      <c r="B44" s="126" t="s">
        <v>250</v>
      </c>
      <c r="C44" s="169" t="s">
        <v>670</v>
      </c>
      <c r="D44" s="94">
        <v>383</v>
      </c>
      <c r="E44" s="175" t="s">
        <v>900</v>
      </c>
      <c r="F44" s="169" t="s">
        <v>882</v>
      </c>
      <c r="G44" s="76" t="s">
        <v>31</v>
      </c>
      <c r="H44" s="169" t="s">
        <v>866</v>
      </c>
      <c r="I44" s="195">
        <v>45525</v>
      </c>
      <c r="J44" s="195">
        <v>45527</v>
      </c>
      <c r="K44" s="196">
        <f t="shared" si="12"/>
        <v>1512.37</v>
      </c>
      <c r="L44" s="196">
        <f t="shared" si="13"/>
        <v>1512.37</v>
      </c>
      <c r="M44" s="201">
        <v>3024.74</v>
      </c>
      <c r="N44" s="173">
        <v>3</v>
      </c>
      <c r="O44" s="200">
        <v>120</v>
      </c>
      <c r="P44" s="94">
        <v>0</v>
      </c>
      <c r="Q44" s="170">
        <v>0</v>
      </c>
      <c r="R44" s="171">
        <f t="shared" si="0"/>
        <v>360</v>
      </c>
      <c r="S44" s="171">
        <f t="shared" si="1"/>
        <v>3384.74</v>
      </c>
      <c r="T44" s="171">
        <f t="shared" si="8"/>
        <v>3384.74</v>
      </c>
      <c r="U44" s="169"/>
    </row>
    <row r="45" spans="1:21" ht="60" x14ac:dyDescent="0.2">
      <c r="A45" s="164" t="s">
        <v>279</v>
      </c>
      <c r="B45" s="215" t="s">
        <v>903</v>
      </c>
      <c r="C45" s="173" t="s">
        <v>447</v>
      </c>
      <c r="D45" s="160">
        <v>336</v>
      </c>
      <c r="E45" s="218" t="s">
        <v>309</v>
      </c>
      <c r="F45" s="173" t="s">
        <v>882</v>
      </c>
      <c r="G45" s="76" t="s">
        <v>31</v>
      </c>
      <c r="H45" s="194" t="s">
        <v>866</v>
      </c>
      <c r="I45" s="195">
        <v>45525</v>
      </c>
      <c r="J45" s="195">
        <v>45527</v>
      </c>
      <c r="K45" s="196">
        <f>2299.87+45.56</f>
        <v>2345.4299999999998</v>
      </c>
      <c r="L45" s="196">
        <f>2808.96+56.22</f>
        <v>2865.18</v>
      </c>
      <c r="M45" s="201">
        <f>K45+L45</f>
        <v>5210.6099999999997</v>
      </c>
      <c r="N45" s="173">
        <v>3</v>
      </c>
      <c r="O45" s="202">
        <v>120</v>
      </c>
      <c r="P45" s="94">
        <v>0</v>
      </c>
      <c r="Q45" s="170">
        <v>0</v>
      </c>
      <c r="R45" s="159">
        <f t="shared" si="0"/>
        <v>360</v>
      </c>
      <c r="S45" s="171">
        <f t="shared" si="1"/>
        <v>5570.61</v>
      </c>
      <c r="T45" s="171">
        <f t="shared" si="8"/>
        <v>5570.61</v>
      </c>
      <c r="U45" s="169"/>
    </row>
    <row r="46" spans="1:21" ht="45" x14ac:dyDescent="0.2">
      <c r="A46" s="126" t="s">
        <v>250</v>
      </c>
      <c r="B46" s="126" t="s">
        <v>250</v>
      </c>
      <c r="C46" s="169" t="s">
        <v>92</v>
      </c>
      <c r="D46" s="94"/>
      <c r="E46" s="175" t="s">
        <v>536</v>
      </c>
      <c r="F46" s="175" t="s">
        <v>883</v>
      </c>
      <c r="G46" s="76" t="s">
        <v>31</v>
      </c>
      <c r="H46" s="169" t="s">
        <v>867</v>
      </c>
      <c r="I46" s="195">
        <v>45525</v>
      </c>
      <c r="J46" s="195">
        <v>45527</v>
      </c>
      <c r="K46" s="196">
        <f t="shared" si="12"/>
        <v>698.99</v>
      </c>
      <c r="L46" s="196">
        <f t="shared" si="13"/>
        <v>698.99</v>
      </c>
      <c r="M46" s="201">
        <v>1397.98</v>
      </c>
      <c r="N46" s="169">
        <f t="shared" ref="N46:N47" si="14">(J46-I46)+1</f>
        <v>3</v>
      </c>
      <c r="O46" s="200">
        <v>120</v>
      </c>
      <c r="P46" s="94">
        <v>0</v>
      </c>
      <c r="Q46" s="170">
        <v>0</v>
      </c>
      <c r="R46" s="171">
        <f t="shared" si="0"/>
        <v>360</v>
      </c>
      <c r="S46" s="171">
        <f t="shared" si="1"/>
        <v>1757.98</v>
      </c>
      <c r="T46" s="171">
        <f t="shared" si="8"/>
        <v>1757.98</v>
      </c>
      <c r="U46" s="169"/>
    </row>
    <row r="47" spans="1:21" ht="60" x14ac:dyDescent="0.2">
      <c r="A47" s="126" t="s">
        <v>250</v>
      </c>
      <c r="B47" s="215" t="s">
        <v>922</v>
      </c>
      <c r="C47" s="169" t="s">
        <v>323</v>
      </c>
      <c r="D47" s="94">
        <v>87</v>
      </c>
      <c r="E47" s="175" t="s">
        <v>906</v>
      </c>
      <c r="F47" s="169" t="s">
        <v>882</v>
      </c>
      <c r="G47" s="76" t="s">
        <v>31</v>
      </c>
      <c r="H47" s="169" t="s">
        <v>866</v>
      </c>
      <c r="I47" s="195">
        <v>45525</v>
      </c>
      <c r="J47" s="195">
        <v>45527</v>
      </c>
      <c r="K47" s="196">
        <f t="shared" si="12"/>
        <v>1512.37</v>
      </c>
      <c r="L47" s="196">
        <f t="shared" si="13"/>
        <v>1512.37</v>
      </c>
      <c r="M47" s="201">
        <v>3024.74</v>
      </c>
      <c r="N47" s="169">
        <f t="shared" si="14"/>
        <v>3</v>
      </c>
      <c r="O47" s="200">
        <v>120</v>
      </c>
      <c r="P47" s="94">
        <v>0</v>
      </c>
      <c r="Q47" s="170">
        <v>0</v>
      </c>
      <c r="R47" s="240">
        <f>N47*O47+P47*Q47</f>
        <v>360</v>
      </c>
      <c r="S47" s="171">
        <f t="shared" si="1"/>
        <v>3384.74</v>
      </c>
      <c r="T47" s="171">
        <f t="shared" si="8"/>
        <v>3384.74</v>
      </c>
      <c r="U47" s="169"/>
    </row>
    <row r="48" spans="1:21" ht="30" x14ac:dyDescent="0.2">
      <c r="A48" s="126" t="s">
        <v>229</v>
      </c>
      <c r="B48" s="215" t="s">
        <v>904</v>
      </c>
      <c r="C48" s="169" t="s">
        <v>872</v>
      </c>
      <c r="D48" s="94">
        <v>390</v>
      </c>
      <c r="E48" s="216" t="s">
        <v>905</v>
      </c>
      <c r="F48" s="175" t="s">
        <v>874</v>
      </c>
      <c r="G48" s="76" t="s">
        <v>31</v>
      </c>
      <c r="H48" s="169" t="s">
        <v>880</v>
      </c>
      <c r="I48" s="195">
        <v>45523</v>
      </c>
      <c r="J48" s="195">
        <v>45525</v>
      </c>
      <c r="K48" s="205">
        <f>708.38+56.22</f>
        <v>764.6</v>
      </c>
      <c r="L48" s="205">
        <f>1086.88+44.99</f>
        <v>1131.8700000000001</v>
      </c>
      <c r="M48" s="205">
        <f>K48+L48</f>
        <v>1896.4700000000003</v>
      </c>
      <c r="N48" s="169">
        <f>(J48-I48)+1</f>
        <v>3</v>
      </c>
      <c r="O48" s="206">
        <v>120</v>
      </c>
      <c r="P48" s="94">
        <v>0</v>
      </c>
      <c r="Q48" s="170">
        <v>0</v>
      </c>
      <c r="R48" s="193">
        <f>N48*O48</f>
        <v>360</v>
      </c>
      <c r="S48" s="187">
        <f>M48+R48</f>
        <v>2256.4700000000003</v>
      </c>
      <c r="T48" s="188">
        <f t="shared" si="8"/>
        <v>2256.4700000000003</v>
      </c>
      <c r="U48" s="169"/>
    </row>
    <row r="49" spans="1:21" x14ac:dyDescent="0.2">
      <c r="A49" s="126" t="s">
        <v>250</v>
      </c>
      <c r="B49" s="126" t="s">
        <v>250</v>
      </c>
      <c r="C49" s="169" t="s">
        <v>873</v>
      </c>
      <c r="D49" s="94">
        <v>383</v>
      </c>
      <c r="E49" s="216" t="s">
        <v>900</v>
      </c>
      <c r="F49" s="175" t="s">
        <v>884</v>
      </c>
      <c r="G49" s="76" t="s">
        <v>31</v>
      </c>
      <c r="H49" s="169" t="s">
        <v>865</v>
      </c>
      <c r="I49" s="195">
        <v>45529</v>
      </c>
      <c r="J49" s="195">
        <v>45532</v>
      </c>
      <c r="K49" s="205">
        <f>1877.9+56.22</f>
        <v>1934.1200000000001</v>
      </c>
      <c r="L49" s="205">
        <f>786.8+32.1</f>
        <v>818.9</v>
      </c>
      <c r="M49" s="205">
        <f>K49+L49</f>
        <v>2753.02</v>
      </c>
      <c r="N49" s="169">
        <f>(J49-I49)+1</f>
        <v>4</v>
      </c>
      <c r="O49" s="200">
        <v>120</v>
      </c>
      <c r="P49" s="94">
        <v>0</v>
      </c>
      <c r="Q49" s="170">
        <v>0</v>
      </c>
      <c r="R49" s="193">
        <f>N49*O49</f>
        <v>480</v>
      </c>
      <c r="S49" s="187">
        <f>M49+R49</f>
        <v>3233.02</v>
      </c>
      <c r="T49" s="188">
        <f t="shared" si="8"/>
        <v>3233.02</v>
      </c>
      <c r="U49" s="213" t="s">
        <v>895</v>
      </c>
    </row>
    <row r="50" spans="1:21" ht="30" x14ac:dyDescent="0.25">
      <c r="A50" s="126" t="s">
        <v>250</v>
      </c>
      <c r="B50" s="169" t="s">
        <v>934</v>
      </c>
      <c r="C50" s="169" t="s">
        <v>932</v>
      </c>
      <c r="D50" s="94">
        <v>74</v>
      </c>
      <c r="E50" s="175" t="s">
        <v>536</v>
      </c>
      <c r="F50" s="175" t="s">
        <v>949</v>
      </c>
      <c r="G50" s="76" t="s">
        <v>31</v>
      </c>
      <c r="H50" s="169" t="s">
        <v>933</v>
      </c>
      <c r="I50" s="195">
        <v>45530</v>
      </c>
      <c r="J50" s="195">
        <v>45532</v>
      </c>
      <c r="K50" s="201">
        <f>M50/2</f>
        <v>1208.9549999999999</v>
      </c>
      <c r="L50" s="201">
        <f>M50/2</f>
        <v>1208.9549999999999</v>
      </c>
      <c r="M50" s="201">
        <f>2316.62+101.29</f>
        <v>2417.91</v>
      </c>
      <c r="N50" s="169">
        <f>(J50-I50)+1</f>
        <v>3</v>
      </c>
      <c r="O50" s="251">
        <v>120</v>
      </c>
      <c r="P50" s="94">
        <v>0</v>
      </c>
      <c r="Q50" s="170">
        <v>0</v>
      </c>
      <c r="R50" s="171">
        <f>N50*O50</f>
        <v>360</v>
      </c>
      <c r="S50" s="252">
        <f>M50+R50</f>
        <v>2777.91</v>
      </c>
      <c r="T50" s="252">
        <f>S50</f>
        <v>2777.91</v>
      </c>
      <c r="U50" s="168"/>
    </row>
    <row r="51" spans="1:21" x14ac:dyDescent="0.2">
      <c r="A51" s="446" t="s">
        <v>279</v>
      </c>
      <c r="B51" s="446" t="s">
        <v>903</v>
      </c>
      <c r="C51" s="446" t="s">
        <v>135</v>
      </c>
      <c r="D51" s="397">
        <v>230</v>
      </c>
      <c r="E51" s="449" t="s">
        <v>411</v>
      </c>
      <c r="F51" s="446" t="s">
        <v>884</v>
      </c>
      <c r="G51" s="391" t="s">
        <v>31</v>
      </c>
      <c r="H51" s="169" t="s">
        <v>869</v>
      </c>
      <c r="I51" s="195">
        <v>45529</v>
      </c>
      <c r="J51" s="195" t="s">
        <v>74</v>
      </c>
      <c r="K51" s="201">
        <f>455.71+54.2</f>
        <v>509.90999999999997</v>
      </c>
      <c r="L51" s="201" t="s">
        <v>74</v>
      </c>
      <c r="M51" s="201">
        <f>K51</f>
        <v>509.90999999999997</v>
      </c>
      <c r="N51" s="438">
        <f>(J54-I51)+1</f>
        <v>4</v>
      </c>
      <c r="O51" s="441">
        <v>120</v>
      </c>
      <c r="P51" s="94">
        <v>0</v>
      </c>
      <c r="Q51" s="170">
        <v>0</v>
      </c>
      <c r="R51" s="394">
        <f t="shared" ref="R51" si="15">N51*O51+P51*Q51</f>
        <v>480</v>
      </c>
      <c r="S51" s="252">
        <f>M51+R51+M52+M53+M54</f>
        <v>3961.6699999999996</v>
      </c>
      <c r="T51" s="171">
        <f t="shared" ref="T51" si="16">S51</f>
        <v>3961.6699999999996</v>
      </c>
      <c r="U51" s="444" t="s">
        <v>891</v>
      </c>
    </row>
    <row r="52" spans="1:21" x14ac:dyDescent="0.2">
      <c r="A52" s="447"/>
      <c r="B52" s="447"/>
      <c r="C52" s="447"/>
      <c r="D52" s="431"/>
      <c r="E52" s="450"/>
      <c r="F52" s="447"/>
      <c r="G52" s="452"/>
      <c r="H52" s="169" t="s">
        <v>870</v>
      </c>
      <c r="I52" s="195" t="s">
        <v>74</v>
      </c>
      <c r="J52" s="195">
        <v>45532</v>
      </c>
      <c r="K52" s="195" t="s">
        <v>74</v>
      </c>
      <c r="L52" s="201">
        <f>571.16+400</f>
        <v>971.16</v>
      </c>
      <c r="M52" s="201">
        <f>L52</f>
        <v>971.16</v>
      </c>
      <c r="N52" s="439"/>
      <c r="O52" s="442"/>
      <c r="P52" s="94">
        <v>0</v>
      </c>
      <c r="Q52" s="170">
        <v>0</v>
      </c>
      <c r="R52" s="420"/>
      <c r="S52" s="171" t="s">
        <v>74</v>
      </c>
      <c r="T52" s="171" t="s">
        <v>74</v>
      </c>
      <c r="U52" s="445"/>
    </row>
    <row r="53" spans="1:21" x14ac:dyDescent="0.25">
      <c r="A53" s="447"/>
      <c r="B53" s="447"/>
      <c r="C53" s="447"/>
      <c r="D53" s="431"/>
      <c r="E53" s="450"/>
      <c r="F53" s="447"/>
      <c r="G53" s="452"/>
      <c r="H53" s="169" t="s">
        <v>864</v>
      </c>
      <c r="I53" s="195" t="s">
        <v>74</v>
      </c>
      <c r="J53" s="195">
        <v>45532</v>
      </c>
      <c r="K53" s="195" t="s">
        <v>74</v>
      </c>
      <c r="L53" s="201">
        <f>597.57+32.1</f>
        <v>629.67000000000007</v>
      </c>
      <c r="M53" s="201">
        <f>L53</f>
        <v>629.67000000000007</v>
      </c>
      <c r="N53" s="439"/>
      <c r="O53" s="442"/>
      <c r="P53" s="94">
        <v>0</v>
      </c>
      <c r="Q53" s="170">
        <v>0</v>
      </c>
      <c r="R53" s="420"/>
      <c r="S53" s="171" t="s">
        <v>74</v>
      </c>
      <c r="T53" s="171" t="s">
        <v>74</v>
      </c>
      <c r="U53" s="168" t="s">
        <v>938</v>
      </c>
    </row>
    <row r="54" spans="1:21" x14ac:dyDescent="0.25">
      <c r="A54" s="448"/>
      <c r="B54" s="448"/>
      <c r="C54" s="448"/>
      <c r="D54" s="398"/>
      <c r="E54" s="451"/>
      <c r="F54" s="448"/>
      <c r="G54" s="392"/>
      <c r="H54" s="169" t="s">
        <v>864</v>
      </c>
      <c r="I54" s="195" t="s">
        <v>74</v>
      </c>
      <c r="J54" s="195">
        <v>45532</v>
      </c>
      <c r="K54" s="195" t="s">
        <v>74</v>
      </c>
      <c r="L54" s="201">
        <f>1338.83+32.1</f>
        <v>1370.9299999999998</v>
      </c>
      <c r="M54" s="201">
        <f>L54</f>
        <v>1370.9299999999998</v>
      </c>
      <c r="N54" s="440"/>
      <c r="O54" s="443"/>
      <c r="P54" s="94">
        <v>0</v>
      </c>
      <c r="Q54" s="170">
        <v>0</v>
      </c>
      <c r="R54" s="395"/>
      <c r="S54" s="171"/>
      <c r="T54" s="171"/>
      <c r="U54" s="168" t="s">
        <v>939</v>
      </c>
    </row>
  </sheetData>
  <mergeCells count="74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N10:N11"/>
    <mergeCell ref="P3:Q3"/>
    <mergeCell ref="R3:R4"/>
    <mergeCell ref="G35:G36"/>
    <mergeCell ref="U15:U16"/>
    <mergeCell ref="H3:H4"/>
    <mergeCell ref="S3:S4"/>
    <mergeCell ref="N8:N9"/>
    <mergeCell ref="I3:I4"/>
    <mergeCell ref="J3:J4"/>
    <mergeCell ref="K3:K4"/>
    <mergeCell ref="L3:L4"/>
    <mergeCell ref="M3:M4"/>
    <mergeCell ref="N3:O3"/>
    <mergeCell ref="G3:G4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F30:F32"/>
    <mergeCell ref="A22:A25"/>
    <mergeCell ref="B22:B25"/>
    <mergeCell ref="C22:C25"/>
    <mergeCell ref="D22:D25"/>
    <mergeCell ref="E22:E25"/>
    <mergeCell ref="F23:F25"/>
    <mergeCell ref="A30:A32"/>
    <mergeCell ref="B30:B32"/>
    <mergeCell ref="C30:C32"/>
    <mergeCell ref="D30:D32"/>
    <mergeCell ref="E30:E32"/>
    <mergeCell ref="F37:F38"/>
    <mergeCell ref="F33:F36"/>
    <mergeCell ref="E33:E36"/>
    <mergeCell ref="D33:D36"/>
    <mergeCell ref="C33:C36"/>
    <mergeCell ref="D37:D38"/>
    <mergeCell ref="E37:E38"/>
    <mergeCell ref="B33:B36"/>
    <mergeCell ref="A33:A36"/>
    <mergeCell ref="A37:A38"/>
    <mergeCell ref="B37:B38"/>
    <mergeCell ref="C37:C38"/>
    <mergeCell ref="N51:N54"/>
    <mergeCell ref="O51:O54"/>
    <mergeCell ref="U51:U52"/>
    <mergeCell ref="B51:B54"/>
    <mergeCell ref="A51:A54"/>
    <mergeCell ref="R51:R54"/>
    <mergeCell ref="C51:C54"/>
    <mergeCell ref="D51:D54"/>
    <mergeCell ref="E51:E54"/>
    <mergeCell ref="F51:F54"/>
    <mergeCell ref="G51:G54"/>
  </mergeCells>
  <phoneticPr fontId="7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100F-BA06-4548-987F-974F8C7E6660}">
  <dimension ref="A1:V31"/>
  <sheetViews>
    <sheetView showGridLines="0" topLeftCell="A11" zoomScale="90" zoomScaleNormal="90" workbookViewId="0">
      <selection activeCell="D25" sqref="D25"/>
    </sheetView>
  </sheetViews>
  <sheetFormatPr defaultRowHeight="15" x14ac:dyDescent="0.25"/>
  <cols>
    <col min="1" max="1" width="38.5" bestFit="1" customWidth="1"/>
    <col min="2" max="2" width="48.375" bestFit="1" customWidth="1"/>
    <col min="3" max="3" width="45.125" style="165" bestFit="1" customWidth="1"/>
    <col min="4" max="4" width="12.5" customWidth="1"/>
    <col min="5" max="5" width="15" style="221" customWidth="1"/>
    <col min="6" max="6" width="29.75" style="166" customWidth="1"/>
    <col min="7" max="7" width="13.875" bestFit="1" customWidth="1"/>
    <col min="8" max="8" width="37.875" style="165" bestFit="1" customWidth="1"/>
    <col min="9" max="9" width="11.5" style="165" bestFit="1" customWidth="1"/>
    <col min="10" max="10" width="9.875" style="165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</row>
    <row r="2" spans="1:22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88"/>
      <c r="J2" s="388"/>
      <c r="K2" s="488" t="s">
        <v>7</v>
      </c>
      <c r="L2" s="488"/>
      <c r="M2" s="488"/>
      <c r="N2" s="335" t="s">
        <v>1</v>
      </c>
      <c r="O2" s="335"/>
      <c r="P2" s="335"/>
      <c r="Q2" s="335"/>
      <c r="R2" s="335"/>
      <c r="S2" s="335"/>
      <c r="T2" s="335" t="s">
        <v>8</v>
      </c>
      <c r="U2" s="489" t="s">
        <v>9</v>
      </c>
    </row>
    <row r="3" spans="1:22" s="167" customFormat="1" x14ac:dyDescent="0.2">
      <c r="A3" s="473" t="s">
        <v>10</v>
      </c>
      <c r="B3" s="473" t="s">
        <v>11</v>
      </c>
      <c r="C3" s="491" t="s">
        <v>12</v>
      </c>
      <c r="D3" s="473" t="s">
        <v>13</v>
      </c>
      <c r="E3" s="493" t="s">
        <v>14</v>
      </c>
      <c r="F3" s="491" t="s">
        <v>15</v>
      </c>
      <c r="G3" s="473" t="s">
        <v>16</v>
      </c>
      <c r="H3" s="477" t="s">
        <v>859</v>
      </c>
      <c r="I3" s="480" t="s">
        <v>19</v>
      </c>
      <c r="J3" s="480" t="s">
        <v>20</v>
      </c>
      <c r="K3" s="482" t="s">
        <v>21</v>
      </c>
      <c r="L3" s="484" t="s">
        <v>22</v>
      </c>
      <c r="M3" s="486" t="s">
        <v>23</v>
      </c>
      <c r="N3" s="486" t="s">
        <v>24</v>
      </c>
      <c r="O3" s="486"/>
      <c r="P3" s="472" t="s">
        <v>25</v>
      </c>
      <c r="Q3" s="472"/>
      <c r="R3" s="473" t="s">
        <v>26</v>
      </c>
      <c r="S3" s="472" t="s">
        <v>23</v>
      </c>
      <c r="T3" s="335"/>
      <c r="U3" s="489"/>
    </row>
    <row r="4" spans="1:22" s="167" customFormat="1" x14ac:dyDescent="0.2">
      <c r="A4" s="474"/>
      <c r="B4" s="474"/>
      <c r="C4" s="492"/>
      <c r="D4" s="474"/>
      <c r="E4" s="494"/>
      <c r="F4" s="492"/>
      <c r="G4" s="474"/>
      <c r="H4" s="478"/>
      <c r="I4" s="481"/>
      <c r="J4" s="481"/>
      <c r="K4" s="483"/>
      <c r="L4" s="485"/>
      <c r="M4" s="487"/>
      <c r="N4" s="209" t="s">
        <v>2</v>
      </c>
      <c r="O4" s="210" t="s">
        <v>30</v>
      </c>
      <c r="P4" s="211" t="s">
        <v>2</v>
      </c>
      <c r="Q4" s="212" t="s">
        <v>30</v>
      </c>
      <c r="R4" s="474"/>
      <c r="S4" s="479"/>
      <c r="T4" s="388"/>
      <c r="U4" s="490"/>
    </row>
    <row r="5" spans="1:22" s="119" customFormat="1" ht="30" x14ac:dyDescent="0.2">
      <c r="A5" s="270" t="s">
        <v>950</v>
      </c>
      <c r="B5" s="270" t="s">
        <v>950</v>
      </c>
      <c r="C5" s="164" t="s">
        <v>907</v>
      </c>
      <c r="D5" s="217" t="s">
        <v>74</v>
      </c>
      <c r="E5" s="175" t="s">
        <v>909</v>
      </c>
      <c r="F5" s="191" t="s">
        <v>908</v>
      </c>
      <c r="G5" s="76" t="s">
        <v>31</v>
      </c>
      <c r="H5" s="274" t="s">
        <v>955</v>
      </c>
      <c r="I5" s="195">
        <v>45552</v>
      </c>
      <c r="J5" s="195">
        <v>45553</v>
      </c>
      <c r="K5" s="196">
        <f>M5/2</f>
        <v>1114.57</v>
      </c>
      <c r="L5" s="196">
        <f>M5/2</f>
        <v>1114.57</v>
      </c>
      <c r="M5" s="279">
        <v>2229.14</v>
      </c>
      <c r="N5" s="169">
        <v>0</v>
      </c>
      <c r="O5" s="197">
        <v>200</v>
      </c>
      <c r="P5" s="94">
        <v>0</v>
      </c>
      <c r="Q5" s="130">
        <v>0</v>
      </c>
      <c r="R5" s="70">
        <f t="shared" ref="R5:R17" si="0">N5*O5+P5*Q5</f>
        <v>0</v>
      </c>
      <c r="S5" s="70">
        <f t="shared" ref="S5:S21" si="1">M5+R5</f>
        <v>2229.14</v>
      </c>
      <c r="T5" s="70">
        <f t="shared" ref="T5:T22" si="2">S5</f>
        <v>2229.14</v>
      </c>
      <c r="U5" s="169"/>
      <c r="V5" s="94"/>
    </row>
    <row r="6" spans="1:22" s="119" customFormat="1" ht="30" x14ac:dyDescent="0.2">
      <c r="A6" s="270" t="s">
        <v>950</v>
      </c>
      <c r="B6" s="270" t="s">
        <v>950</v>
      </c>
      <c r="C6" s="194" t="s">
        <v>910</v>
      </c>
      <c r="D6" s="222" t="s">
        <v>74</v>
      </c>
      <c r="E6" s="175" t="s">
        <v>909</v>
      </c>
      <c r="F6" s="191" t="s">
        <v>908</v>
      </c>
      <c r="G6" s="76" t="s">
        <v>31</v>
      </c>
      <c r="H6" s="274" t="s">
        <v>955</v>
      </c>
      <c r="I6" s="195">
        <v>45552</v>
      </c>
      <c r="J6" s="195">
        <v>45553</v>
      </c>
      <c r="K6" s="196">
        <f>M6/2</f>
        <v>1114.57</v>
      </c>
      <c r="L6" s="196">
        <f>M6/2</f>
        <v>1114.57</v>
      </c>
      <c r="M6" s="279">
        <v>2229.14</v>
      </c>
      <c r="N6" s="169">
        <v>0</v>
      </c>
      <c r="O6" s="197">
        <v>200</v>
      </c>
      <c r="P6" s="94">
        <v>0</v>
      </c>
      <c r="Q6" s="130">
        <v>0</v>
      </c>
      <c r="R6" s="70">
        <f t="shared" si="0"/>
        <v>0</v>
      </c>
      <c r="S6" s="70">
        <f t="shared" si="1"/>
        <v>2229.14</v>
      </c>
      <c r="T6" s="70">
        <f t="shared" si="2"/>
        <v>2229.14</v>
      </c>
      <c r="U6" s="169"/>
      <c r="V6" s="94"/>
    </row>
    <row r="7" spans="1:22" s="119" customFormat="1" x14ac:dyDescent="0.2">
      <c r="A7" s="404" t="s">
        <v>229</v>
      </c>
      <c r="B7" s="404" t="s">
        <v>229</v>
      </c>
      <c r="C7" s="500" t="s">
        <v>858</v>
      </c>
      <c r="D7" s="502">
        <v>0</v>
      </c>
      <c r="E7" s="449" t="s">
        <v>90</v>
      </c>
      <c r="F7" s="504" t="s">
        <v>911</v>
      </c>
      <c r="G7" s="495" t="s">
        <v>764</v>
      </c>
      <c r="H7" s="194" t="s">
        <v>913</v>
      </c>
      <c r="I7" s="264">
        <v>45539</v>
      </c>
      <c r="J7" s="264"/>
      <c r="K7" s="265">
        <f>1638.6+719.41</f>
        <v>2358.0099999999998</v>
      </c>
      <c r="L7" s="265" t="s">
        <v>74</v>
      </c>
      <c r="M7" s="265">
        <f>K7</f>
        <v>2358.0099999999998</v>
      </c>
      <c r="N7" s="169">
        <v>0</v>
      </c>
      <c r="O7" s="197">
        <v>200</v>
      </c>
      <c r="P7" s="94"/>
      <c r="Q7" s="266"/>
      <c r="R7" s="188"/>
      <c r="S7" s="188"/>
      <c r="T7" s="188"/>
      <c r="U7" s="169"/>
      <c r="V7" s="94"/>
    </row>
    <row r="8" spans="1:22" s="119" customFormat="1" x14ac:dyDescent="0.2">
      <c r="A8" s="405"/>
      <c r="B8" s="405"/>
      <c r="C8" s="501"/>
      <c r="D8" s="503"/>
      <c r="E8" s="451"/>
      <c r="F8" s="505"/>
      <c r="G8" s="392"/>
      <c r="H8" s="194" t="s">
        <v>912</v>
      </c>
      <c r="I8" s="264">
        <v>45542</v>
      </c>
      <c r="J8" s="264"/>
      <c r="K8" s="265">
        <v>1397.63</v>
      </c>
      <c r="L8" s="265" t="s">
        <v>74</v>
      </c>
      <c r="M8" s="265">
        <f>K8</f>
        <v>1397.63</v>
      </c>
      <c r="N8" s="169">
        <v>0</v>
      </c>
      <c r="O8" s="197">
        <v>200</v>
      </c>
      <c r="P8" s="94">
        <v>0</v>
      </c>
      <c r="Q8" s="266">
        <v>0</v>
      </c>
      <c r="R8" s="188">
        <f t="shared" si="0"/>
        <v>0</v>
      </c>
      <c r="S8" s="188">
        <f t="shared" si="1"/>
        <v>1397.63</v>
      </c>
      <c r="T8" s="188">
        <f t="shared" si="2"/>
        <v>1397.63</v>
      </c>
      <c r="U8" s="169"/>
      <c r="V8" s="94"/>
    </row>
    <row r="9" spans="1:22" s="119" customFormat="1" x14ac:dyDescent="0.2">
      <c r="A9" s="404" t="s">
        <v>229</v>
      </c>
      <c r="B9" s="404" t="s">
        <v>229</v>
      </c>
      <c r="C9" s="500" t="s">
        <v>858</v>
      </c>
      <c r="D9" s="502">
        <v>0</v>
      </c>
      <c r="E9" s="449" t="s">
        <v>90</v>
      </c>
      <c r="F9" s="496" t="s">
        <v>916</v>
      </c>
      <c r="G9" s="76" t="s">
        <v>31</v>
      </c>
      <c r="H9" s="194" t="s">
        <v>914</v>
      </c>
      <c r="I9" s="264">
        <v>45551</v>
      </c>
      <c r="J9" s="194"/>
      <c r="K9" s="498">
        <f t="shared" ref="K9:K21" si="3">M9/2</f>
        <v>1559</v>
      </c>
      <c r="L9" s="498">
        <f t="shared" ref="L9:L21" si="4">M9/2</f>
        <v>1559</v>
      </c>
      <c r="M9" s="498">
        <v>3118</v>
      </c>
      <c r="N9" s="446">
        <v>0</v>
      </c>
      <c r="O9" s="197">
        <v>200</v>
      </c>
      <c r="P9" s="94">
        <v>0</v>
      </c>
      <c r="Q9" s="236">
        <v>0</v>
      </c>
      <c r="R9" s="232">
        <f t="shared" si="0"/>
        <v>0</v>
      </c>
      <c r="S9" s="232">
        <f t="shared" si="1"/>
        <v>3118</v>
      </c>
      <c r="T9" s="232">
        <f t="shared" si="2"/>
        <v>3118</v>
      </c>
      <c r="U9" s="446"/>
      <c r="V9" s="94"/>
    </row>
    <row r="10" spans="1:22" s="119" customFormat="1" x14ac:dyDescent="0.2">
      <c r="A10" s="405"/>
      <c r="B10" s="405"/>
      <c r="C10" s="501"/>
      <c r="D10" s="503"/>
      <c r="E10" s="451"/>
      <c r="F10" s="497"/>
      <c r="G10" s="76" t="s">
        <v>31</v>
      </c>
      <c r="H10" s="194" t="s">
        <v>915</v>
      </c>
      <c r="I10" s="264"/>
      <c r="J10" s="264">
        <v>45553</v>
      </c>
      <c r="K10" s="499"/>
      <c r="L10" s="499"/>
      <c r="M10" s="499"/>
      <c r="N10" s="448"/>
      <c r="O10" s="197">
        <v>200</v>
      </c>
      <c r="P10" s="94">
        <v>0</v>
      </c>
      <c r="Q10" s="236">
        <v>0</v>
      </c>
      <c r="R10" s="232">
        <f t="shared" si="0"/>
        <v>0</v>
      </c>
      <c r="S10" s="232">
        <f t="shared" si="1"/>
        <v>0</v>
      </c>
      <c r="T10" s="232">
        <f t="shared" si="2"/>
        <v>0</v>
      </c>
      <c r="U10" s="448"/>
      <c r="V10" s="94"/>
    </row>
    <row r="11" spans="1:22" ht="30" x14ac:dyDescent="0.2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4" t="s">
        <v>917</v>
      </c>
      <c r="G11" s="76" t="s">
        <v>31</v>
      </c>
      <c r="H11" s="169" t="s">
        <v>865</v>
      </c>
      <c r="I11" s="195">
        <v>45557</v>
      </c>
      <c r="J11" s="195">
        <v>45561</v>
      </c>
      <c r="K11" s="205">
        <f>M11/2</f>
        <v>433.05999999999995</v>
      </c>
      <c r="L11" s="205">
        <f>M11/2</f>
        <v>433.05999999999995</v>
      </c>
      <c r="M11" s="265">
        <f>777.8+88.32</f>
        <v>866.11999999999989</v>
      </c>
      <c r="N11" s="169">
        <v>0</v>
      </c>
      <c r="O11" s="197">
        <v>200</v>
      </c>
      <c r="P11" s="94">
        <v>0</v>
      </c>
      <c r="Q11" s="236">
        <v>0</v>
      </c>
      <c r="R11" s="232">
        <f t="shared" si="0"/>
        <v>0</v>
      </c>
      <c r="S11" s="232">
        <f t="shared" si="1"/>
        <v>866.11999999999989</v>
      </c>
      <c r="T11" s="232">
        <f t="shared" si="2"/>
        <v>866.11999999999989</v>
      </c>
      <c r="U11" s="169"/>
      <c r="V11" s="94"/>
    </row>
    <row r="12" spans="1:22" ht="30" x14ac:dyDescent="0.2">
      <c r="A12" s="126" t="s">
        <v>250</v>
      </c>
      <c r="B12" s="215" t="s">
        <v>902</v>
      </c>
      <c r="C12" s="276" t="s">
        <v>918</v>
      </c>
      <c r="D12" s="267">
        <v>386</v>
      </c>
      <c r="E12" s="268" t="s">
        <v>948</v>
      </c>
      <c r="F12" s="169" t="s">
        <v>917</v>
      </c>
      <c r="G12" s="215" t="s">
        <v>31</v>
      </c>
      <c r="H12" s="169" t="s">
        <v>865</v>
      </c>
      <c r="I12" s="195">
        <v>45557</v>
      </c>
      <c r="J12" s="195">
        <v>45561</v>
      </c>
      <c r="K12" s="205">
        <f t="shared" si="3"/>
        <v>628</v>
      </c>
      <c r="L12" s="205">
        <f t="shared" si="4"/>
        <v>628</v>
      </c>
      <c r="M12" s="280">
        <v>1256</v>
      </c>
      <c r="N12" s="174">
        <f>(J12-I12)+1</f>
        <v>5</v>
      </c>
      <c r="O12" s="235">
        <v>200</v>
      </c>
      <c r="P12" s="94">
        <v>0</v>
      </c>
      <c r="Q12" s="236">
        <v>0</v>
      </c>
      <c r="R12" s="232">
        <f>N12*O12</f>
        <v>1000</v>
      </c>
      <c r="S12" s="233">
        <f>M12+R12</f>
        <v>2256</v>
      </c>
      <c r="T12" s="232">
        <f t="shared" si="2"/>
        <v>2256</v>
      </c>
      <c r="U12" s="169" t="s">
        <v>947</v>
      </c>
      <c r="V12" s="94"/>
    </row>
    <row r="13" spans="1:22" x14ac:dyDescent="0.2">
      <c r="A13" s="126" t="s">
        <v>229</v>
      </c>
      <c r="B13" s="126" t="s">
        <v>229</v>
      </c>
      <c r="C13" s="194" t="s">
        <v>757</v>
      </c>
      <c r="D13" s="234">
        <v>392</v>
      </c>
      <c r="E13" s="175" t="s">
        <v>798</v>
      </c>
      <c r="F13" s="169" t="s">
        <v>917</v>
      </c>
      <c r="G13" s="215" t="s">
        <v>31</v>
      </c>
      <c r="H13" s="169" t="s">
        <v>865</v>
      </c>
      <c r="I13" s="195">
        <v>45557</v>
      </c>
      <c r="J13" s="195">
        <v>45561</v>
      </c>
      <c r="K13" s="205">
        <f t="shared" ref="K13" si="5">M13/2</f>
        <v>628.1</v>
      </c>
      <c r="L13" s="205">
        <f t="shared" ref="L13" si="6">M13/2</f>
        <v>628.1</v>
      </c>
      <c r="M13" s="280">
        <v>1256.2</v>
      </c>
      <c r="N13" s="174">
        <f>(J13-I13)+1</f>
        <v>5</v>
      </c>
      <c r="O13" s="235">
        <v>200</v>
      </c>
      <c r="P13" s="94">
        <v>0</v>
      </c>
      <c r="Q13" s="236">
        <v>0</v>
      </c>
      <c r="R13" s="232">
        <f t="shared" si="0"/>
        <v>1000</v>
      </c>
      <c r="S13" s="232">
        <f t="shared" si="1"/>
        <v>2256.1999999999998</v>
      </c>
      <c r="T13" s="232">
        <f t="shared" si="2"/>
        <v>2256.1999999999998</v>
      </c>
      <c r="U13" s="169"/>
      <c r="V13" s="94"/>
    </row>
    <row r="14" spans="1:22" ht="60" x14ac:dyDescent="0.2">
      <c r="A14" s="262" t="s">
        <v>229</v>
      </c>
      <c r="B14" s="262" t="s">
        <v>229</v>
      </c>
      <c r="C14" s="164" t="s">
        <v>858</v>
      </c>
      <c r="D14" s="247">
        <v>0</v>
      </c>
      <c r="E14" s="175" t="s">
        <v>90</v>
      </c>
      <c r="F14" s="175" t="s">
        <v>919</v>
      </c>
      <c r="G14" s="76" t="s">
        <v>31</v>
      </c>
      <c r="H14" s="169" t="s">
        <v>920</v>
      </c>
      <c r="I14" s="195">
        <v>45545</v>
      </c>
      <c r="J14" s="195">
        <v>45546</v>
      </c>
      <c r="K14" s="205">
        <f>1891.02+56.22</f>
        <v>1947.24</v>
      </c>
      <c r="L14" s="205">
        <f>1921.95+30.95</f>
        <v>1952.9</v>
      </c>
      <c r="M14" s="280">
        <f>K14+L14</f>
        <v>3900.1400000000003</v>
      </c>
      <c r="N14" s="169">
        <v>0</v>
      </c>
      <c r="O14" s="235">
        <v>200</v>
      </c>
      <c r="P14" s="94">
        <v>0</v>
      </c>
      <c r="Q14" s="236">
        <v>0</v>
      </c>
      <c r="R14" s="232">
        <f t="shared" si="0"/>
        <v>0</v>
      </c>
      <c r="S14" s="232">
        <f t="shared" si="1"/>
        <v>3900.1400000000003</v>
      </c>
      <c r="T14" s="232">
        <f t="shared" si="2"/>
        <v>3900.1400000000003</v>
      </c>
      <c r="U14" s="169"/>
      <c r="V14" s="94"/>
    </row>
    <row r="15" spans="1:22" ht="60" x14ac:dyDescent="0.2">
      <c r="A15" s="126" t="s">
        <v>229</v>
      </c>
      <c r="B15" s="271" t="s">
        <v>952</v>
      </c>
      <c r="C15" s="169" t="s">
        <v>921</v>
      </c>
      <c r="D15" s="94">
        <v>383</v>
      </c>
      <c r="E15" s="175" t="s">
        <v>945</v>
      </c>
      <c r="F15" s="175" t="s">
        <v>919</v>
      </c>
      <c r="G15" s="76" t="s">
        <v>31</v>
      </c>
      <c r="H15" s="169" t="s">
        <v>920</v>
      </c>
      <c r="I15" s="195">
        <v>45545</v>
      </c>
      <c r="J15" s="195">
        <v>45546</v>
      </c>
      <c r="K15" s="196">
        <f>1489.9+56.22</f>
        <v>1546.1200000000001</v>
      </c>
      <c r="L15" s="196">
        <f>1570.48+30.95</f>
        <v>1601.43</v>
      </c>
      <c r="M15" s="280">
        <f>K15+L15</f>
        <v>3147.55</v>
      </c>
      <c r="N15" s="169">
        <f t="shared" ref="N15:N21" si="7">(J15-I15)+1</f>
        <v>2</v>
      </c>
      <c r="O15" s="200">
        <v>200</v>
      </c>
      <c r="P15" s="94">
        <v>0</v>
      </c>
      <c r="Q15" s="170">
        <v>0</v>
      </c>
      <c r="R15" s="171">
        <f t="shared" si="0"/>
        <v>400</v>
      </c>
      <c r="S15" s="171">
        <f t="shared" si="1"/>
        <v>3547.55</v>
      </c>
      <c r="T15" s="171">
        <f t="shared" si="2"/>
        <v>3547.55</v>
      </c>
      <c r="U15" s="169"/>
      <c r="V15" s="94"/>
    </row>
    <row r="16" spans="1:22" ht="60" x14ac:dyDescent="0.2">
      <c r="A16" s="126" t="s">
        <v>229</v>
      </c>
      <c r="B16" s="126" t="s">
        <v>229</v>
      </c>
      <c r="C16" s="194" t="s">
        <v>757</v>
      </c>
      <c r="D16" s="234">
        <v>392</v>
      </c>
      <c r="E16" s="175" t="s">
        <v>798</v>
      </c>
      <c r="F16" s="175" t="s">
        <v>919</v>
      </c>
      <c r="G16" s="76" t="s">
        <v>31</v>
      </c>
      <c r="H16" s="169" t="s">
        <v>920</v>
      </c>
      <c r="I16" s="195">
        <v>45545</v>
      </c>
      <c r="J16" s="195">
        <v>45546</v>
      </c>
      <c r="K16" s="196">
        <f>1891.02+56.22</f>
        <v>1947.24</v>
      </c>
      <c r="L16" s="196">
        <f>1921.95+30.95</f>
        <v>1952.9</v>
      </c>
      <c r="M16" s="280">
        <f>+K16+L16</f>
        <v>3900.1400000000003</v>
      </c>
      <c r="N16" s="169">
        <f t="shared" si="7"/>
        <v>2</v>
      </c>
      <c r="O16" s="202">
        <v>200</v>
      </c>
      <c r="P16" s="94">
        <v>0</v>
      </c>
      <c r="Q16" s="170">
        <v>0</v>
      </c>
      <c r="R16" s="159">
        <f t="shared" si="0"/>
        <v>400</v>
      </c>
      <c r="S16" s="171">
        <f t="shared" si="1"/>
        <v>4300.1400000000003</v>
      </c>
      <c r="T16" s="171">
        <f t="shared" si="2"/>
        <v>4300.1400000000003</v>
      </c>
      <c r="U16" s="169"/>
      <c r="V16" s="94"/>
    </row>
    <row r="17" spans="1:22" ht="60" x14ac:dyDescent="0.2">
      <c r="A17" s="154" t="s">
        <v>250</v>
      </c>
      <c r="B17" s="215" t="s">
        <v>901</v>
      </c>
      <c r="C17" s="164" t="s">
        <v>802</v>
      </c>
      <c r="D17" s="217">
        <v>404</v>
      </c>
      <c r="E17" s="175" t="s">
        <v>898</v>
      </c>
      <c r="F17" s="194" t="s">
        <v>917</v>
      </c>
      <c r="G17" s="76" t="s">
        <v>31</v>
      </c>
      <c r="H17" s="169" t="s">
        <v>865</v>
      </c>
      <c r="I17" s="195">
        <v>45559</v>
      </c>
      <c r="J17" s="195">
        <v>45561</v>
      </c>
      <c r="K17" s="196">
        <f>M17/2</f>
        <v>926.99</v>
      </c>
      <c r="L17" s="196">
        <f t="shared" si="4"/>
        <v>926.99</v>
      </c>
      <c r="M17" s="280">
        <v>1853.98</v>
      </c>
      <c r="N17" s="169">
        <f>(J17-I17)+1</f>
        <v>3</v>
      </c>
      <c r="O17" s="200">
        <v>200</v>
      </c>
      <c r="P17" s="94">
        <v>0</v>
      </c>
      <c r="Q17" s="170">
        <v>0</v>
      </c>
      <c r="R17" s="171">
        <f t="shared" si="0"/>
        <v>600</v>
      </c>
      <c r="S17" s="171">
        <f t="shared" si="1"/>
        <v>2453.98</v>
      </c>
      <c r="T17" s="171">
        <f t="shared" si="2"/>
        <v>2453.98</v>
      </c>
      <c r="U17" s="169"/>
      <c r="V17" s="94"/>
    </row>
    <row r="18" spans="1:22" x14ac:dyDescent="0.2">
      <c r="A18" s="435" t="s">
        <v>250</v>
      </c>
      <c r="B18" s="435" t="s">
        <v>250</v>
      </c>
      <c r="C18" s="506" t="s">
        <v>378</v>
      </c>
      <c r="D18" s="508">
        <v>0</v>
      </c>
      <c r="E18" s="449" t="s">
        <v>896</v>
      </c>
      <c r="F18" s="449"/>
      <c r="G18" s="391" t="s">
        <v>31</v>
      </c>
      <c r="H18" s="169" t="s">
        <v>943</v>
      </c>
      <c r="I18" s="195">
        <v>45557</v>
      </c>
      <c r="J18" s="195"/>
      <c r="K18" s="196">
        <v>463.28</v>
      </c>
      <c r="L18" s="196"/>
      <c r="M18" s="280">
        <f>K18</f>
        <v>463.28</v>
      </c>
      <c r="N18" s="446">
        <v>0</v>
      </c>
      <c r="O18" s="200">
        <v>200</v>
      </c>
      <c r="P18" s="94">
        <v>0</v>
      </c>
      <c r="Q18" s="170">
        <v>0</v>
      </c>
      <c r="R18" s="171">
        <f t="shared" ref="R18:R19" si="8">N18*O18+P18*Q18</f>
        <v>0</v>
      </c>
      <c r="S18" s="171">
        <f t="shared" ref="S18:S19" si="9">M18+R18</f>
        <v>463.28</v>
      </c>
      <c r="T18" s="171">
        <f t="shared" ref="T18:T19" si="10">S18</f>
        <v>463.28</v>
      </c>
      <c r="U18" s="169"/>
      <c r="V18" s="94"/>
    </row>
    <row r="19" spans="1:22" x14ac:dyDescent="0.2">
      <c r="A19" s="437"/>
      <c r="B19" s="437"/>
      <c r="C19" s="507"/>
      <c r="D19" s="509"/>
      <c r="E19" s="451"/>
      <c r="F19" s="451"/>
      <c r="G19" s="392"/>
      <c r="H19" s="169" t="s">
        <v>864</v>
      </c>
      <c r="I19" s="195"/>
      <c r="J19" s="195">
        <v>45559</v>
      </c>
      <c r="K19" s="196"/>
      <c r="L19" s="196">
        <v>1113.99</v>
      </c>
      <c r="M19" s="280">
        <f>L19</f>
        <v>1113.99</v>
      </c>
      <c r="N19" s="448"/>
      <c r="O19" s="200">
        <v>200</v>
      </c>
      <c r="P19" s="94">
        <v>0</v>
      </c>
      <c r="Q19" s="170">
        <v>0</v>
      </c>
      <c r="R19" s="171">
        <f t="shared" si="8"/>
        <v>0</v>
      </c>
      <c r="S19" s="171">
        <f t="shared" si="9"/>
        <v>1113.99</v>
      </c>
      <c r="T19" s="171">
        <f t="shared" si="10"/>
        <v>1113.99</v>
      </c>
      <c r="U19" s="169"/>
      <c r="V19" s="94"/>
    </row>
    <row r="20" spans="1:22" ht="30" x14ac:dyDescent="0.2">
      <c r="A20" s="154" t="s">
        <v>250</v>
      </c>
      <c r="B20" s="215" t="s">
        <v>212</v>
      </c>
      <c r="C20" s="164" t="s">
        <v>612</v>
      </c>
      <c r="D20" s="217">
        <v>365</v>
      </c>
      <c r="E20" s="175" t="s">
        <v>52</v>
      </c>
      <c r="F20" s="194" t="s">
        <v>917</v>
      </c>
      <c r="G20" s="76" t="s">
        <v>31</v>
      </c>
      <c r="H20" s="169" t="s">
        <v>865</v>
      </c>
      <c r="I20" s="195">
        <v>45559</v>
      </c>
      <c r="J20" s="195">
        <v>45561</v>
      </c>
      <c r="K20" s="196">
        <f>M20/2</f>
        <v>692.01499999999999</v>
      </c>
      <c r="L20" s="196">
        <f t="shared" si="4"/>
        <v>692.01499999999999</v>
      </c>
      <c r="M20" s="280">
        <v>1384.03</v>
      </c>
      <c r="N20" s="169">
        <f t="shared" ref="N20" si="11">(J20-I20)+1</f>
        <v>3</v>
      </c>
      <c r="O20" s="200">
        <v>200</v>
      </c>
      <c r="P20" s="94">
        <v>0</v>
      </c>
      <c r="Q20" s="170">
        <v>0</v>
      </c>
      <c r="R20" s="171">
        <f t="shared" ref="R20" si="12">N20*O20+P20*Q20</f>
        <v>600</v>
      </c>
      <c r="S20" s="171">
        <f t="shared" ref="S20" si="13">M20+R20</f>
        <v>1984.03</v>
      </c>
      <c r="T20" s="171">
        <f t="shared" ref="T20" si="14">S20</f>
        <v>1984.03</v>
      </c>
      <c r="U20" s="169"/>
      <c r="V20" s="94"/>
    </row>
    <row r="21" spans="1:22" ht="45" x14ac:dyDescent="0.2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94" t="s">
        <v>917</v>
      </c>
      <c r="G21" s="76" t="s">
        <v>31</v>
      </c>
      <c r="H21" s="169" t="s">
        <v>865</v>
      </c>
      <c r="I21" s="195">
        <v>45559</v>
      </c>
      <c r="J21" s="195">
        <v>45561</v>
      </c>
      <c r="K21" s="196">
        <f t="shared" si="3"/>
        <v>692.01499999999999</v>
      </c>
      <c r="L21" s="196">
        <f t="shared" si="4"/>
        <v>692.01499999999999</v>
      </c>
      <c r="M21" s="280">
        <v>1384.03</v>
      </c>
      <c r="N21" s="169">
        <f t="shared" si="7"/>
        <v>3</v>
      </c>
      <c r="O21" s="200">
        <v>200</v>
      </c>
      <c r="P21" s="94">
        <v>0</v>
      </c>
      <c r="Q21" s="170">
        <v>0</v>
      </c>
      <c r="R21" s="171">
        <f>N21*O21+P21*Q21</f>
        <v>600</v>
      </c>
      <c r="S21" s="171">
        <f t="shared" si="1"/>
        <v>1984.03</v>
      </c>
      <c r="T21" s="171">
        <f t="shared" si="2"/>
        <v>1984.03</v>
      </c>
      <c r="U21" s="169"/>
      <c r="V21" s="94"/>
    </row>
    <row r="22" spans="1:22" s="167" customFormat="1" ht="30" x14ac:dyDescent="0.2">
      <c r="A22" s="126" t="s">
        <v>250</v>
      </c>
      <c r="B22" s="215" t="s">
        <v>925</v>
      </c>
      <c r="C22" s="169" t="s">
        <v>923</v>
      </c>
      <c r="D22" s="94">
        <v>314</v>
      </c>
      <c r="E22" s="216" t="s">
        <v>926</v>
      </c>
      <c r="F22" s="175" t="s">
        <v>951</v>
      </c>
      <c r="G22" s="76" t="s">
        <v>31</v>
      </c>
      <c r="H22" s="169" t="s">
        <v>860</v>
      </c>
      <c r="I22" s="195">
        <v>45565</v>
      </c>
      <c r="J22" s="195">
        <v>45567</v>
      </c>
      <c r="K22" s="205">
        <f>M22/2</f>
        <v>584.88499999999999</v>
      </c>
      <c r="L22" s="205">
        <f>M23/2</f>
        <v>584.88499999999999</v>
      </c>
      <c r="M22" s="265">
        <v>1169.77</v>
      </c>
      <c r="N22" s="194">
        <f>(J22-I22)+1</f>
        <v>3</v>
      </c>
      <c r="O22" s="283">
        <v>120</v>
      </c>
      <c r="P22" s="94">
        <v>0</v>
      </c>
      <c r="Q22" s="170">
        <v>0</v>
      </c>
      <c r="R22" s="193">
        <f>N22*O22</f>
        <v>360</v>
      </c>
      <c r="S22" s="187">
        <f>M22+R22</f>
        <v>1529.77</v>
      </c>
      <c r="T22" s="188">
        <f t="shared" si="2"/>
        <v>1529.77</v>
      </c>
      <c r="U22" s="169"/>
      <c r="V22" s="94"/>
    </row>
    <row r="23" spans="1:22" ht="30" x14ac:dyDescent="0.2">
      <c r="A23" s="126" t="s">
        <v>250</v>
      </c>
      <c r="B23" s="215" t="s">
        <v>925</v>
      </c>
      <c r="C23" s="169" t="s">
        <v>924</v>
      </c>
      <c r="D23" s="94">
        <v>119</v>
      </c>
      <c r="E23" s="216" t="s">
        <v>927</v>
      </c>
      <c r="F23" s="175" t="s">
        <v>951</v>
      </c>
      <c r="G23" s="76" t="s">
        <v>31</v>
      </c>
      <c r="H23" s="169" t="s">
        <v>860</v>
      </c>
      <c r="I23" s="195">
        <v>45565</v>
      </c>
      <c r="J23" s="195">
        <v>45567</v>
      </c>
      <c r="K23" s="205">
        <f t="shared" ref="K23" si="15">M23/2</f>
        <v>584.88499999999999</v>
      </c>
      <c r="L23" s="205">
        <f>M23/2</f>
        <v>584.88499999999999</v>
      </c>
      <c r="M23" s="280">
        <v>1169.77</v>
      </c>
      <c r="N23" s="194">
        <f t="shared" ref="N23" si="16">(J23-I23)+1</f>
        <v>3</v>
      </c>
      <c r="O23" s="284">
        <v>120</v>
      </c>
      <c r="P23" s="94">
        <v>0</v>
      </c>
      <c r="Q23" s="236">
        <v>0</v>
      </c>
      <c r="R23" s="232">
        <f>N23*O23+P23*Q23</f>
        <v>360</v>
      </c>
      <c r="S23" s="232">
        <f>M23+R23</f>
        <v>1529.77</v>
      </c>
      <c r="T23" s="232">
        <f>S23</f>
        <v>1529.77</v>
      </c>
      <c r="U23" s="169"/>
      <c r="V23" s="94"/>
    </row>
    <row r="24" spans="1:22" ht="30" x14ac:dyDescent="0.25">
      <c r="A24" s="169" t="s">
        <v>279</v>
      </c>
      <c r="B24" s="169" t="s">
        <v>944</v>
      </c>
      <c r="C24" s="169" t="s">
        <v>42</v>
      </c>
      <c r="D24" s="94">
        <v>232</v>
      </c>
      <c r="E24" s="175" t="s">
        <v>946</v>
      </c>
      <c r="F24" s="175" t="s">
        <v>958</v>
      </c>
      <c r="G24" s="76" t="s">
        <v>31</v>
      </c>
      <c r="H24" s="169" t="s">
        <v>865</v>
      </c>
      <c r="I24" s="195">
        <v>45552</v>
      </c>
      <c r="J24" s="195">
        <v>45554</v>
      </c>
      <c r="K24" s="201">
        <f>M24/2</f>
        <v>507.66499999999996</v>
      </c>
      <c r="L24" s="201">
        <f>M24/2</f>
        <v>507.66499999999996</v>
      </c>
      <c r="M24" s="280">
        <f>927.01+88.32</f>
        <v>1015.3299999999999</v>
      </c>
      <c r="N24" s="194">
        <f>(J24-I24)+1</f>
        <v>3</v>
      </c>
      <c r="O24" s="281">
        <v>200</v>
      </c>
      <c r="P24" s="94">
        <v>0</v>
      </c>
      <c r="Q24" s="130">
        <v>0</v>
      </c>
      <c r="R24" s="70">
        <f t="shared" ref="R24:R26" si="17">N24*O24+P24*Q24</f>
        <v>600</v>
      </c>
      <c r="S24" s="70">
        <f t="shared" ref="S24" si="18">M24+R24</f>
        <v>1615.33</v>
      </c>
      <c r="T24" s="70">
        <f t="shared" ref="T24" si="19">S24</f>
        <v>1615.33</v>
      </c>
      <c r="U24" s="168"/>
      <c r="V24" s="44"/>
    </row>
    <row r="25" spans="1:22" ht="30" x14ac:dyDescent="0.25">
      <c r="A25" s="169" t="s">
        <v>279</v>
      </c>
      <c r="B25" s="169" t="s">
        <v>944</v>
      </c>
      <c r="C25" s="169" t="s">
        <v>953</v>
      </c>
      <c r="D25" s="94">
        <v>416</v>
      </c>
      <c r="E25" s="175" t="s">
        <v>954</v>
      </c>
      <c r="F25" s="221" t="s">
        <v>958</v>
      </c>
      <c r="G25" s="76" t="s">
        <v>31</v>
      </c>
      <c r="H25" s="169" t="s">
        <v>865</v>
      </c>
      <c r="I25" s="195">
        <v>45552</v>
      </c>
      <c r="J25" s="195">
        <v>45554</v>
      </c>
      <c r="K25" s="201">
        <f>M25/2</f>
        <v>1139.5250000000001</v>
      </c>
      <c r="L25" s="201">
        <f>M25/2</f>
        <v>1139.5250000000001</v>
      </c>
      <c r="M25" s="280">
        <f>2190.73+88.32</f>
        <v>2279.0500000000002</v>
      </c>
      <c r="N25" s="194">
        <f t="shared" ref="N25:N26" si="20">(J25-I25)+1</f>
        <v>3</v>
      </c>
      <c r="O25" s="281">
        <v>200</v>
      </c>
      <c r="P25" s="94">
        <v>0</v>
      </c>
      <c r="Q25" s="130">
        <v>0</v>
      </c>
      <c r="R25" s="70">
        <f t="shared" si="17"/>
        <v>600</v>
      </c>
      <c r="S25" s="70">
        <f t="shared" ref="S25:S26" si="21">M25+R25</f>
        <v>2879.05</v>
      </c>
      <c r="T25" s="70">
        <f t="shared" ref="T25:T26" si="22">S25</f>
        <v>2879.05</v>
      </c>
      <c r="U25" s="168"/>
      <c r="V25" s="44"/>
    </row>
    <row r="26" spans="1:22" x14ac:dyDescent="0.25">
      <c r="A26" s="169" t="s">
        <v>279</v>
      </c>
      <c r="B26" s="275" t="s">
        <v>957</v>
      </c>
      <c r="C26" s="169" t="s">
        <v>956</v>
      </c>
      <c r="D26" s="94">
        <v>384</v>
      </c>
      <c r="E26" s="175" t="s">
        <v>778</v>
      </c>
      <c r="F26" s="169"/>
      <c r="G26" s="76" t="s">
        <v>31</v>
      </c>
      <c r="H26" s="169" t="s">
        <v>860</v>
      </c>
      <c r="I26" s="195">
        <v>45557</v>
      </c>
      <c r="J26" s="195">
        <v>45560</v>
      </c>
      <c r="K26" s="201">
        <f>1638.21+56.22</f>
        <v>1694.43</v>
      </c>
      <c r="L26" s="201">
        <f>1076.54+57.87</f>
        <v>1134.4099999999999</v>
      </c>
      <c r="M26" s="280">
        <f>K26+L26</f>
        <v>2828.84</v>
      </c>
      <c r="N26" s="194">
        <f t="shared" si="20"/>
        <v>4</v>
      </c>
      <c r="O26" s="281">
        <v>200</v>
      </c>
      <c r="P26" s="94">
        <v>0</v>
      </c>
      <c r="Q26" s="130">
        <v>0</v>
      </c>
      <c r="R26" s="70">
        <f t="shared" si="17"/>
        <v>800</v>
      </c>
      <c r="S26" s="70">
        <f t="shared" si="21"/>
        <v>3628.84</v>
      </c>
      <c r="T26" s="70">
        <f t="shared" si="22"/>
        <v>3628.84</v>
      </c>
      <c r="U26" s="168"/>
      <c r="V26" s="44"/>
    </row>
    <row r="27" spans="1:22" s="263" customFormat="1" ht="15" customHeight="1" x14ac:dyDescent="0.2">
      <c r="A27" s="169"/>
      <c r="N27" s="269"/>
    </row>
    <row r="28" spans="1:22" s="263" customFormat="1" ht="15" customHeight="1" x14ac:dyDescent="0.2">
      <c r="M28" s="278">
        <f>SUM(M5:M27)</f>
        <v>40320.14</v>
      </c>
      <c r="N28" s="269"/>
      <c r="R28" s="282">
        <f>SUM(R5:R26)</f>
        <v>7320</v>
      </c>
      <c r="T28" s="282">
        <f>SUM(T5:T26)</f>
        <v>45282.12999999999</v>
      </c>
    </row>
    <row r="29" spans="1:22" s="263" customFormat="1" ht="15" customHeight="1" x14ac:dyDescent="0.2">
      <c r="N29" s="269"/>
    </row>
    <row r="30" spans="1:22" s="263" customFormat="1" ht="15" customHeight="1" x14ac:dyDescent="0.2">
      <c r="N30" s="269"/>
    </row>
    <row r="31" spans="1:22" s="263" customFormat="1" ht="15" customHeight="1" x14ac:dyDescent="0.2">
      <c r="N31" s="269"/>
    </row>
  </sheetData>
  <mergeCells count="51">
    <mergeCell ref="A18:A19"/>
    <mergeCell ref="B18:B19"/>
    <mergeCell ref="N18:N19"/>
    <mergeCell ref="C18:C19"/>
    <mergeCell ref="D18:D19"/>
    <mergeCell ref="E18:E19"/>
    <mergeCell ref="F18:F19"/>
    <mergeCell ref="G18:G19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E9:E10"/>
    <mergeCell ref="N9:N10"/>
    <mergeCell ref="I3:I4"/>
    <mergeCell ref="J3:J4"/>
    <mergeCell ref="K3:K4"/>
    <mergeCell ref="L3:L4"/>
    <mergeCell ref="M3:M4"/>
    <mergeCell ref="N3:O3"/>
    <mergeCell ref="H3:H4"/>
    <mergeCell ref="E7:E8"/>
    <mergeCell ref="F7:F8"/>
    <mergeCell ref="A7:A8"/>
    <mergeCell ref="A9:A10"/>
    <mergeCell ref="B9:B10"/>
    <mergeCell ref="C9:C10"/>
    <mergeCell ref="D9:D10"/>
    <mergeCell ref="B7:B8"/>
    <mergeCell ref="C7:C8"/>
    <mergeCell ref="D7:D8"/>
    <mergeCell ref="U9:U10"/>
    <mergeCell ref="G7:G8"/>
    <mergeCell ref="F9:F10"/>
    <mergeCell ref="K9:K10"/>
    <mergeCell ref="L9:L10"/>
    <mergeCell ref="M9:M10"/>
  </mergeCells>
  <phoneticPr fontId="7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8182-8A0E-4D8D-BA1B-5EB6090EB01C}">
  <dimension ref="A1:V29"/>
  <sheetViews>
    <sheetView showGridLines="0" topLeftCell="B1" zoomScale="90" zoomScaleNormal="90" workbookViewId="0">
      <selection activeCell="B17" sqref="B17"/>
    </sheetView>
  </sheetViews>
  <sheetFormatPr defaultRowHeight="15" x14ac:dyDescent="0.25"/>
  <cols>
    <col min="1" max="1" width="38.5" bestFit="1" customWidth="1"/>
    <col min="2" max="2" width="48.375" bestFit="1" customWidth="1"/>
    <col min="3" max="3" width="45.125" style="165" bestFit="1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37.875" style="165" bestFit="1" customWidth="1"/>
    <col min="9" max="9" width="11.5" style="165" bestFit="1" customWidth="1"/>
    <col min="10" max="10" width="9.875" style="165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</row>
    <row r="2" spans="1:22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88"/>
      <c r="J2" s="388"/>
      <c r="K2" s="488" t="s">
        <v>7</v>
      </c>
      <c r="L2" s="488"/>
      <c r="M2" s="488"/>
      <c r="N2" s="335" t="s">
        <v>1</v>
      </c>
      <c r="O2" s="335"/>
      <c r="P2" s="335"/>
      <c r="Q2" s="335"/>
      <c r="R2" s="335"/>
      <c r="S2" s="335"/>
      <c r="T2" s="335" t="s">
        <v>8</v>
      </c>
      <c r="U2" s="489" t="s">
        <v>9</v>
      </c>
    </row>
    <row r="3" spans="1:22" s="167" customFormat="1" x14ac:dyDescent="0.2">
      <c r="A3" s="473" t="s">
        <v>10</v>
      </c>
      <c r="B3" s="473" t="s">
        <v>11</v>
      </c>
      <c r="C3" s="491" t="s">
        <v>12</v>
      </c>
      <c r="D3" s="473" t="s">
        <v>13</v>
      </c>
      <c r="E3" s="493" t="s">
        <v>14</v>
      </c>
      <c r="F3" s="491" t="s">
        <v>15</v>
      </c>
      <c r="G3" s="473" t="s">
        <v>16</v>
      </c>
      <c r="H3" s="477" t="s">
        <v>859</v>
      </c>
      <c r="I3" s="480" t="s">
        <v>19</v>
      </c>
      <c r="J3" s="480" t="s">
        <v>20</v>
      </c>
      <c r="K3" s="482" t="s">
        <v>21</v>
      </c>
      <c r="L3" s="484" t="s">
        <v>22</v>
      </c>
      <c r="M3" s="486" t="s">
        <v>23</v>
      </c>
      <c r="N3" s="486" t="s">
        <v>24</v>
      </c>
      <c r="O3" s="486"/>
      <c r="P3" s="472" t="s">
        <v>25</v>
      </c>
      <c r="Q3" s="472"/>
      <c r="R3" s="473" t="s">
        <v>26</v>
      </c>
      <c r="S3" s="472" t="s">
        <v>23</v>
      </c>
      <c r="T3" s="335"/>
      <c r="U3" s="489"/>
    </row>
    <row r="4" spans="1:22" s="167" customFormat="1" x14ac:dyDescent="0.2">
      <c r="A4" s="474"/>
      <c r="B4" s="474"/>
      <c r="C4" s="492"/>
      <c r="D4" s="474"/>
      <c r="E4" s="494"/>
      <c r="F4" s="492"/>
      <c r="G4" s="474"/>
      <c r="H4" s="478"/>
      <c r="I4" s="481"/>
      <c r="J4" s="481"/>
      <c r="K4" s="483"/>
      <c r="L4" s="485"/>
      <c r="M4" s="487"/>
      <c r="N4" s="209" t="s">
        <v>2</v>
      </c>
      <c r="O4" s="210" t="s">
        <v>30</v>
      </c>
      <c r="P4" s="211" t="s">
        <v>2</v>
      </c>
      <c r="Q4" s="212" t="s">
        <v>30</v>
      </c>
      <c r="R4" s="474"/>
      <c r="S4" s="479"/>
      <c r="T4" s="388"/>
      <c r="U4" s="490"/>
    </row>
    <row r="5" spans="1:22" s="119" customFormat="1" x14ac:dyDescent="0.2">
      <c r="A5" s="285" t="s">
        <v>229</v>
      </c>
      <c r="B5" s="285" t="s">
        <v>960</v>
      </c>
      <c r="C5" s="164" t="s">
        <v>959</v>
      </c>
      <c r="D5" s="217">
        <v>56</v>
      </c>
      <c r="E5" s="175" t="s">
        <v>961</v>
      </c>
      <c r="F5" s="191" t="s">
        <v>962</v>
      </c>
      <c r="G5" s="76" t="s">
        <v>31</v>
      </c>
      <c r="H5" s="169" t="s">
        <v>865</v>
      </c>
      <c r="I5" s="195">
        <v>45566</v>
      </c>
      <c r="J5" s="264">
        <v>45568</v>
      </c>
      <c r="K5" s="279">
        <f>M5/2</f>
        <v>1038.835</v>
      </c>
      <c r="L5" s="279">
        <f>M5/2</f>
        <v>1038.835</v>
      </c>
      <c r="M5" s="279">
        <f>1989.35+88.32</f>
        <v>2077.67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 t="shared" ref="R5:R10" si="0">N5*O5+P5*Q5</f>
        <v>600</v>
      </c>
      <c r="S5" s="70">
        <f t="shared" ref="S5:S12" si="1">M5+R5</f>
        <v>2677.67</v>
      </c>
      <c r="T5" s="70">
        <f t="shared" ref="T5:T12" si="2">S5</f>
        <v>2677.67</v>
      </c>
      <c r="U5" s="169"/>
      <c r="V5" s="94"/>
    </row>
    <row r="6" spans="1:22" ht="30" x14ac:dyDescent="0.2">
      <c r="A6" s="262" t="s">
        <v>229</v>
      </c>
      <c r="B6" s="262" t="s">
        <v>229</v>
      </c>
      <c r="C6" s="164" t="s">
        <v>858</v>
      </c>
      <c r="D6" s="247">
        <v>0</v>
      </c>
      <c r="E6" s="175" t="s">
        <v>90</v>
      </c>
      <c r="F6" s="191" t="s">
        <v>962</v>
      </c>
      <c r="G6" s="76" t="s">
        <v>31</v>
      </c>
      <c r="H6" s="169" t="s">
        <v>865</v>
      </c>
      <c r="I6" s="195">
        <v>45566</v>
      </c>
      <c r="J6" s="264">
        <v>45568</v>
      </c>
      <c r="K6" s="265">
        <f>M6/2</f>
        <v>1322.6000000000001</v>
      </c>
      <c r="L6" s="265">
        <f>M6/2</f>
        <v>1322.6000000000001</v>
      </c>
      <c r="M6" s="265">
        <f>2556.88+88.32</f>
        <v>2645.2000000000003</v>
      </c>
      <c r="N6" s="194">
        <v>0</v>
      </c>
      <c r="O6" s="281">
        <v>200</v>
      </c>
      <c r="P6" s="293">
        <v>0</v>
      </c>
      <c r="Q6" s="236">
        <v>0</v>
      </c>
      <c r="R6" s="291">
        <f t="shared" si="0"/>
        <v>0</v>
      </c>
      <c r="S6" s="232">
        <f t="shared" si="1"/>
        <v>2645.2000000000003</v>
      </c>
      <c r="T6" s="232">
        <f t="shared" si="2"/>
        <v>2645.2000000000003</v>
      </c>
      <c r="U6" s="169"/>
      <c r="V6" s="94"/>
    </row>
    <row r="7" spans="1:22" x14ac:dyDescent="0.2">
      <c r="A7" s="169" t="s">
        <v>279</v>
      </c>
      <c r="B7" s="275" t="s">
        <v>957</v>
      </c>
      <c r="C7" s="169" t="s">
        <v>956</v>
      </c>
      <c r="D7" s="94">
        <v>384</v>
      </c>
      <c r="E7" s="175" t="s">
        <v>778</v>
      </c>
      <c r="F7" s="169" t="s">
        <v>963</v>
      </c>
      <c r="G7" s="215" t="s">
        <v>31</v>
      </c>
      <c r="H7" s="169" t="s">
        <v>860</v>
      </c>
      <c r="I7" s="195">
        <v>45566</v>
      </c>
      <c r="J7" s="264">
        <v>45569</v>
      </c>
      <c r="K7" s="265">
        <f>1227.14+56.22</f>
        <v>1283.3600000000001</v>
      </c>
      <c r="L7" s="265">
        <f>906.41+57.87</f>
        <v>964.28</v>
      </c>
      <c r="M7" s="280">
        <f>K7+L7</f>
        <v>2247.6400000000003</v>
      </c>
      <c r="N7" s="241">
        <f>(J7-I7)+1</f>
        <v>4</v>
      </c>
      <c r="O7" s="284">
        <v>200</v>
      </c>
      <c r="P7" s="293">
        <v>0</v>
      </c>
      <c r="Q7" s="236">
        <v>0</v>
      </c>
      <c r="R7" s="291">
        <f>N7*O7</f>
        <v>800</v>
      </c>
      <c r="S7" s="233">
        <f>M7+R7</f>
        <v>3047.6400000000003</v>
      </c>
      <c r="T7" s="232">
        <f t="shared" si="2"/>
        <v>3047.6400000000003</v>
      </c>
      <c r="U7" s="169"/>
      <c r="V7" s="94"/>
    </row>
    <row r="8" spans="1:22" ht="30" x14ac:dyDescent="0.2">
      <c r="A8" s="169" t="s">
        <v>279</v>
      </c>
      <c r="B8" s="275" t="s">
        <v>957</v>
      </c>
      <c r="C8" s="194" t="s">
        <v>964</v>
      </c>
      <c r="D8" s="234">
        <v>411</v>
      </c>
      <c r="E8" s="175" t="s">
        <v>312</v>
      </c>
      <c r="F8" s="169" t="s">
        <v>963</v>
      </c>
      <c r="G8" s="215" t="s">
        <v>31</v>
      </c>
      <c r="H8" s="169" t="s">
        <v>860</v>
      </c>
      <c r="I8" s="195">
        <v>45566</v>
      </c>
      <c r="J8" s="264">
        <v>45571</v>
      </c>
      <c r="K8" s="265">
        <f>1227.14+56.22</f>
        <v>1283.3600000000001</v>
      </c>
      <c r="L8" s="265">
        <f>906.41+57.87</f>
        <v>964.28</v>
      </c>
      <c r="M8" s="280">
        <f>K8+L8</f>
        <v>2247.6400000000003</v>
      </c>
      <c r="N8" s="241">
        <v>4</v>
      </c>
      <c r="O8" s="284">
        <v>200</v>
      </c>
      <c r="P8" s="293">
        <v>0</v>
      </c>
      <c r="Q8" s="236">
        <v>0</v>
      </c>
      <c r="R8" s="291">
        <f>N8*O8+P8*Q8</f>
        <v>800</v>
      </c>
      <c r="S8" s="232">
        <f t="shared" si="1"/>
        <v>3047.6400000000003</v>
      </c>
      <c r="T8" s="232">
        <f t="shared" si="2"/>
        <v>3047.6400000000003</v>
      </c>
      <c r="U8" s="169"/>
      <c r="V8" s="94"/>
    </row>
    <row r="9" spans="1:22" x14ac:dyDescent="0.2">
      <c r="A9" s="272" t="s">
        <v>250</v>
      </c>
      <c r="B9" s="272" t="s">
        <v>250</v>
      </c>
      <c r="C9" s="277" t="s">
        <v>378</v>
      </c>
      <c r="D9" s="273">
        <v>0</v>
      </c>
      <c r="E9" s="218" t="s">
        <v>896</v>
      </c>
      <c r="F9" s="218" t="s">
        <v>966</v>
      </c>
      <c r="G9" s="286" t="s">
        <v>764</v>
      </c>
      <c r="H9" s="173" t="s">
        <v>965</v>
      </c>
      <c r="I9" s="195">
        <v>45583</v>
      </c>
      <c r="J9" s="264">
        <v>45591</v>
      </c>
      <c r="K9" s="279">
        <f>M9/2</f>
        <v>2398.75</v>
      </c>
      <c r="L9" s="279">
        <f>M9/2</f>
        <v>2398.75</v>
      </c>
      <c r="M9" s="280">
        <v>4797.5</v>
      </c>
      <c r="N9" s="194">
        <v>0</v>
      </c>
      <c r="O9" s="294">
        <v>200</v>
      </c>
      <c r="P9" s="293">
        <v>0</v>
      </c>
      <c r="Q9" s="170">
        <v>0</v>
      </c>
      <c r="R9" s="240">
        <f t="shared" si="0"/>
        <v>0</v>
      </c>
      <c r="S9" s="171">
        <f t="shared" si="1"/>
        <v>4797.5</v>
      </c>
      <c r="T9" s="171">
        <f t="shared" si="2"/>
        <v>4797.5</v>
      </c>
      <c r="U9" s="169"/>
      <c r="V9" s="94"/>
    </row>
    <row r="10" spans="1:22" x14ac:dyDescent="0.2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966</v>
      </c>
      <c r="G10" s="286" t="s">
        <v>764</v>
      </c>
      <c r="H10" s="173" t="s">
        <v>965</v>
      </c>
      <c r="I10" s="195">
        <v>45583</v>
      </c>
      <c r="J10" s="264">
        <v>45593</v>
      </c>
      <c r="K10" s="279">
        <f>M10/2</f>
        <v>3284.3</v>
      </c>
      <c r="L10" s="279">
        <f t="shared" ref="L10:L12" si="3">M10/2</f>
        <v>3284.3</v>
      </c>
      <c r="M10" s="280">
        <f>4263+2305.6</f>
        <v>6568.6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0"/>
        <v>0</v>
      </c>
      <c r="S10" s="171">
        <f t="shared" si="1"/>
        <v>6568.6</v>
      </c>
      <c r="T10" s="171">
        <f t="shared" si="2"/>
        <v>6568.6</v>
      </c>
      <c r="U10" s="169"/>
      <c r="V10" s="94"/>
    </row>
    <row r="11" spans="1:22" x14ac:dyDescent="0.2">
      <c r="A11" s="169" t="s">
        <v>279</v>
      </c>
      <c r="B11" s="169" t="s">
        <v>279</v>
      </c>
      <c r="C11" s="164" t="s">
        <v>967</v>
      </c>
      <c r="D11" s="217">
        <v>0</v>
      </c>
      <c r="E11" s="175" t="s">
        <v>897</v>
      </c>
      <c r="F11" s="218" t="s">
        <v>74</v>
      </c>
      <c r="G11" s="76" t="s">
        <v>31</v>
      </c>
      <c r="H11" s="169" t="s">
        <v>867</v>
      </c>
      <c r="I11" s="195">
        <v>45575</v>
      </c>
      <c r="J11" s="264">
        <v>45580</v>
      </c>
      <c r="K11" s="279">
        <f>M11/2</f>
        <v>900.76499999999999</v>
      </c>
      <c r="L11" s="279">
        <f>M11/2</f>
        <v>900.76499999999999</v>
      </c>
      <c r="M11" s="280">
        <f>1701.04+100.49</f>
        <v>1801.53</v>
      </c>
      <c r="N11" s="194">
        <v>0</v>
      </c>
      <c r="O11" s="294">
        <v>200</v>
      </c>
      <c r="P11" s="293">
        <v>0</v>
      </c>
      <c r="Q11" s="170">
        <v>0</v>
      </c>
      <c r="R11" s="240">
        <f t="shared" ref="R11" si="4">N11*O11+P11*Q11</f>
        <v>0</v>
      </c>
      <c r="S11" s="171">
        <f t="shared" ref="S11" si="5">M11+R11</f>
        <v>1801.53</v>
      </c>
      <c r="T11" s="171">
        <f t="shared" ref="T11" si="6">S11</f>
        <v>1801.53</v>
      </c>
      <c r="U11" s="169"/>
      <c r="V11" s="94"/>
    </row>
    <row r="12" spans="1:22" ht="45" x14ac:dyDescent="0.2">
      <c r="A12" s="126" t="s">
        <v>250</v>
      </c>
      <c r="B12" s="262" t="s">
        <v>229</v>
      </c>
      <c r="C12" s="164" t="s">
        <v>858</v>
      </c>
      <c r="D12" s="247">
        <v>0</v>
      </c>
      <c r="E12" s="175" t="s">
        <v>90</v>
      </c>
      <c r="F12" s="191" t="s">
        <v>969</v>
      </c>
      <c r="G12" s="76" t="s">
        <v>31</v>
      </c>
      <c r="H12" s="169" t="s">
        <v>860</v>
      </c>
      <c r="I12" s="195">
        <v>47403</v>
      </c>
      <c r="J12" s="264">
        <v>45584</v>
      </c>
      <c r="K12" s="279">
        <f t="shared" ref="K12" si="7">M12/2</f>
        <v>2587.46</v>
      </c>
      <c r="L12" s="279">
        <f t="shared" si="3"/>
        <v>2587.46</v>
      </c>
      <c r="M12" s="280">
        <f>5087.26+87.66</f>
        <v>5174.92</v>
      </c>
      <c r="N12" s="194">
        <v>0</v>
      </c>
      <c r="O12" s="294">
        <v>200</v>
      </c>
      <c r="P12" s="293">
        <v>0</v>
      </c>
      <c r="Q12" s="170">
        <v>0</v>
      </c>
      <c r="R12" s="240">
        <f>N12*O12+P12*Q12</f>
        <v>0</v>
      </c>
      <c r="S12" s="171">
        <f t="shared" si="1"/>
        <v>5174.92</v>
      </c>
      <c r="T12" s="171">
        <f t="shared" si="2"/>
        <v>5174.92</v>
      </c>
      <c r="U12" s="169"/>
      <c r="V12" s="94"/>
    </row>
    <row r="13" spans="1:22" s="167" customFormat="1" ht="30" x14ac:dyDescent="0.2">
      <c r="A13" s="126" t="s">
        <v>250</v>
      </c>
      <c r="B13" s="169" t="s">
        <v>934</v>
      </c>
      <c r="C13" s="169" t="s">
        <v>986</v>
      </c>
      <c r="D13" s="94">
        <v>130</v>
      </c>
      <c r="E13" s="287" t="s">
        <v>970</v>
      </c>
      <c r="F13" s="175" t="s">
        <v>972</v>
      </c>
      <c r="G13" s="76" t="s">
        <v>31</v>
      </c>
      <c r="H13" s="169" t="s">
        <v>968</v>
      </c>
      <c r="I13" s="195">
        <v>45579</v>
      </c>
      <c r="J13" s="264">
        <v>45582</v>
      </c>
      <c r="K13" s="265">
        <f>$M$13/2</f>
        <v>1321.2249999999999</v>
      </c>
      <c r="L13" s="265">
        <f>$M$13/2</f>
        <v>1321.2249999999999</v>
      </c>
      <c r="M13" s="265">
        <f>2555.91+86.54</f>
        <v>2642.45</v>
      </c>
      <c r="N13" s="241">
        <f>(J13-I13)+1</f>
        <v>4</v>
      </c>
      <c r="O13" s="294">
        <v>200</v>
      </c>
      <c r="P13" s="293">
        <v>0</v>
      </c>
      <c r="Q13" s="170">
        <v>0</v>
      </c>
      <c r="R13" s="240">
        <f t="shared" ref="R13:R23" si="8">N13*O13+P13*Q13</f>
        <v>800</v>
      </c>
      <c r="S13" s="171">
        <f t="shared" ref="S13:S23" si="9">M13+R13</f>
        <v>3442.45</v>
      </c>
      <c r="T13" s="171">
        <f t="shared" ref="T13:T23" si="10">S13</f>
        <v>3442.45</v>
      </c>
      <c r="U13" s="169"/>
      <c r="V13" s="94"/>
    </row>
    <row r="14" spans="1:22" ht="30" x14ac:dyDescent="0.2">
      <c r="A14" s="126" t="s">
        <v>250</v>
      </c>
      <c r="B14" s="215" t="s">
        <v>902</v>
      </c>
      <c r="C14" s="169" t="s">
        <v>985</v>
      </c>
      <c r="D14" s="94">
        <v>277</v>
      </c>
      <c r="E14" s="287" t="s">
        <v>970</v>
      </c>
      <c r="F14" s="175" t="s">
        <v>972</v>
      </c>
      <c r="G14" s="76" t="s">
        <v>31</v>
      </c>
      <c r="H14" s="169" t="s">
        <v>968</v>
      </c>
      <c r="I14" s="195">
        <v>45579</v>
      </c>
      <c r="J14" s="264">
        <v>45582</v>
      </c>
      <c r="K14" s="265">
        <f>$M$13/2</f>
        <v>1321.2249999999999</v>
      </c>
      <c r="L14" s="265">
        <f>$M$13/2</f>
        <v>1321.2249999999999</v>
      </c>
      <c r="M14" s="265">
        <f>2555.91+86.54</f>
        <v>2642.45</v>
      </c>
      <c r="N14" s="241">
        <f>(J14-I14)+1</f>
        <v>4</v>
      </c>
      <c r="O14" s="294">
        <v>200</v>
      </c>
      <c r="P14" s="293">
        <v>0</v>
      </c>
      <c r="Q14" s="170">
        <v>0</v>
      </c>
      <c r="R14" s="240">
        <f t="shared" si="8"/>
        <v>800</v>
      </c>
      <c r="S14" s="171">
        <f t="shared" si="9"/>
        <v>3442.45</v>
      </c>
      <c r="T14" s="171">
        <f t="shared" si="10"/>
        <v>3442.45</v>
      </c>
      <c r="U14" s="169"/>
      <c r="V14" s="94"/>
    </row>
    <row r="15" spans="1:22" ht="30" x14ac:dyDescent="0.25">
      <c r="A15" s="285" t="s">
        <v>229</v>
      </c>
      <c r="B15" s="271" t="s">
        <v>952</v>
      </c>
      <c r="C15" s="169" t="s">
        <v>984</v>
      </c>
      <c r="D15" s="94">
        <v>195</v>
      </c>
      <c r="E15" s="175" t="s">
        <v>971</v>
      </c>
      <c r="F15" s="175" t="s">
        <v>973</v>
      </c>
      <c r="G15" s="285" t="s">
        <v>31</v>
      </c>
      <c r="H15" s="169" t="s">
        <v>860</v>
      </c>
      <c r="I15" s="195">
        <v>45587</v>
      </c>
      <c r="J15" s="264">
        <v>45589</v>
      </c>
      <c r="K15" s="280">
        <f>M15/2</f>
        <v>1454.4450000000002</v>
      </c>
      <c r="L15" s="280">
        <f>M15/2</f>
        <v>1454.4450000000002</v>
      </c>
      <c r="M15" s="280">
        <f>2794.8+114.09</f>
        <v>2908.8900000000003</v>
      </c>
      <c r="N15" s="241">
        <f>(J15-I15)+1</f>
        <v>3</v>
      </c>
      <c r="O15" s="281">
        <v>200</v>
      </c>
      <c r="P15" s="293">
        <v>0</v>
      </c>
      <c r="Q15" s="170">
        <v>0</v>
      </c>
      <c r="R15" s="240">
        <f t="shared" si="8"/>
        <v>600</v>
      </c>
      <c r="S15" s="171">
        <f t="shared" si="9"/>
        <v>3508.8900000000003</v>
      </c>
      <c r="T15" s="171">
        <f t="shared" si="10"/>
        <v>3508.8900000000003</v>
      </c>
      <c r="U15" s="168"/>
      <c r="V15" s="44"/>
    </row>
    <row r="16" spans="1:22" ht="30" x14ac:dyDescent="0.25">
      <c r="A16" s="285" t="s">
        <v>229</v>
      </c>
      <c r="B16" s="271" t="s">
        <v>952</v>
      </c>
      <c r="C16" s="169" t="s">
        <v>983</v>
      </c>
      <c r="D16" s="94">
        <v>72</v>
      </c>
      <c r="E16" s="175" t="s">
        <v>536</v>
      </c>
      <c r="F16" s="221" t="s">
        <v>973</v>
      </c>
      <c r="G16" s="285" t="s">
        <v>31</v>
      </c>
      <c r="H16" s="169" t="s">
        <v>860</v>
      </c>
      <c r="I16" s="195">
        <v>45587</v>
      </c>
      <c r="J16" s="264">
        <v>45589</v>
      </c>
      <c r="K16" s="280">
        <f>M16/2</f>
        <v>1454.4450000000002</v>
      </c>
      <c r="L16" s="280">
        <f>M16/2</f>
        <v>1454.4450000000002</v>
      </c>
      <c r="M16" s="280">
        <f>2794.8+114.09</f>
        <v>2908.8900000000003</v>
      </c>
      <c r="N16" s="241">
        <f t="shared" ref="N16" si="11">(J16-I16)+1</f>
        <v>3</v>
      </c>
      <c r="O16" s="281">
        <v>200</v>
      </c>
      <c r="P16" s="293">
        <v>0</v>
      </c>
      <c r="Q16" s="170">
        <v>0</v>
      </c>
      <c r="R16" s="240">
        <f t="shared" si="8"/>
        <v>600</v>
      </c>
      <c r="S16" s="171">
        <f t="shared" si="9"/>
        <v>3508.8900000000003</v>
      </c>
      <c r="T16" s="171">
        <f t="shared" si="10"/>
        <v>3508.8900000000003</v>
      </c>
      <c r="U16" s="168"/>
      <c r="V16" s="44"/>
    </row>
    <row r="17" spans="1:20" s="263" customFormat="1" ht="15" customHeight="1" x14ac:dyDescent="0.2">
      <c r="A17" s="262" t="s">
        <v>229</v>
      </c>
      <c r="B17" s="262" t="s">
        <v>229</v>
      </c>
      <c r="C17" s="164" t="s">
        <v>858</v>
      </c>
      <c r="D17" s="247">
        <v>0</v>
      </c>
      <c r="E17" s="175" t="s">
        <v>90</v>
      </c>
      <c r="F17" s="191" t="s">
        <v>975</v>
      </c>
      <c r="G17" s="76" t="s">
        <v>31</v>
      </c>
      <c r="H17" s="169" t="s">
        <v>860</v>
      </c>
      <c r="I17" s="288">
        <v>45588</v>
      </c>
      <c r="J17" s="295">
        <v>45589</v>
      </c>
      <c r="K17" s="280">
        <f t="shared" ref="K17:K23" si="12">M17/2</f>
        <v>2995.7</v>
      </c>
      <c r="L17" s="280">
        <f t="shared" ref="L17:L23" si="13">M17/2</f>
        <v>2995.7</v>
      </c>
      <c r="M17" s="280">
        <v>5991.4</v>
      </c>
      <c r="N17" s="241">
        <v>0</v>
      </c>
      <c r="O17" s="281">
        <v>200</v>
      </c>
      <c r="P17" s="293">
        <v>0</v>
      </c>
      <c r="Q17" s="170">
        <v>0</v>
      </c>
      <c r="R17" s="240">
        <f t="shared" si="8"/>
        <v>0</v>
      </c>
      <c r="S17" s="171">
        <f t="shared" si="9"/>
        <v>5991.4</v>
      </c>
      <c r="T17" s="171">
        <f t="shared" si="10"/>
        <v>5991.4</v>
      </c>
    </row>
    <row r="18" spans="1:20" s="263" customFormat="1" ht="27" customHeight="1" x14ac:dyDescent="0.2">
      <c r="A18" s="262" t="s">
        <v>229</v>
      </c>
      <c r="B18" s="289" t="s">
        <v>974</v>
      </c>
      <c r="C18" s="276" t="s">
        <v>918</v>
      </c>
      <c r="D18" s="267">
        <v>386</v>
      </c>
      <c r="E18" s="268" t="s">
        <v>948</v>
      </c>
      <c r="F18" s="191" t="s">
        <v>975</v>
      </c>
      <c r="G18" s="76" t="s">
        <v>31</v>
      </c>
      <c r="H18" s="169" t="s">
        <v>860</v>
      </c>
      <c r="I18" s="288">
        <v>45588</v>
      </c>
      <c r="J18" s="295">
        <v>45589</v>
      </c>
      <c r="K18" s="280">
        <f t="shared" si="12"/>
        <v>2995.7</v>
      </c>
      <c r="L18" s="280">
        <f t="shared" si="13"/>
        <v>2995.7</v>
      </c>
      <c r="M18" s="280">
        <v>5991.4</v>
      </c>
      <c r="N18" s="241">
        <f t="shared" ref="N18:N23" si="14">(J18-I18)+1</f>
        <v>2</v>
      </c>
      <c r="O18" s="281">
        <v>200</v>
      </c>
      <c r="P18" s="293">
        <v>0</v>
      </c>
      <c r="Q18" s="170">
        <v>0</v>
      </c>
      <c r="R18" s="240">
        <f t="shared" si="8"/>
        <v>400</v>
      </c>
      <c r="S18" s="171">
        <f t="shared" si="9"/>
        <v>6391.4</v>
      </c>
      <c r="T18" s="171">
        <f t="shared" si="10"/>
        <v>6391.4</v>
      </c>
    </row>
    <row r="19" spans="1:20" s="263" customFormat="1" ht="15" customHeight="1" x14ac:dyDescent="0.2">
      <c r="A19" s="126" t="s">
        <v>250</v>
      </c>
      <c r="B19" s="215" t="s">
        <v>922</v>
      </c>
      <c r="C19" s="169" t="s">
        <v>976</v>
      </c>
      <c r="D19" s="169">
        <v>128</v>
      </c>
      <c r="E19" s="169" t="s">
        <v>970</v>
      </c>
      <c r="F19" s="169" t="s">
        <v>977</v>
      </c>
      <c r="G19" s="76" t="s">
        <v>31</v>
      </c>
      <c r="H19" s="169" t="s">
        <v>968</v>
      </c>
      <c r="I19" s="288">
        <v>45595</v>
      </c>
      <c r="J19" s="295">
        <v>45597</v>
      </c>
      <c r="K19" s="280">
        <f t="shared" si="12"/>
        <v>1212.905</v>
      </c>
      <c r="L19" s="280">
        <f t="shared" si="13"/>
        <v>1212.905</v>
      </c>
      <c r="M19" s="280">
        <v>2425.81</v>
      </c>
      <c r="N19" s="241">
        <v>3</v>
      </c>
      <c r="O19" s="281">
        <v>200</v>
      </c>
      <c r="P19" s="293">
        <v>0</v>
      </c>
      <c r="Q19" s="170">
        <v>0</v>
      </c>
      <c r="R19" s="240">
        <f t="shared" si="8"/>
        <v>600</v>
      </c>
      <c r="S19" s="171">
        <f t="shared" si="9"/>
        <v>3025.81</v>
      </c>
      <c r="T19" s="171">
        <f t="shared" si="10"/>
        <v>3025.81</v>
      </c>
    </row>
    <row r="20" spans="1:20" s="263" customFormat="1" ht="30" x14ac:dyDescent="0.2">
      <c r="A20" s="126" t="s">
        <v>250</v>
      </c>
      <c r="B20" s="215" t="s">
        <v>212</v>
      </c>
      <c r="C20" s="169" t="s">
        <v>978</v>
      </c>
      <c r="D20" s="169">
        <v>158</v>
      </c>
      <c r="E20" s="169" t="s">
        <v>271</v>
      </c>
      <c r="F20" s="175" t="s">
        <v>979</v>
      </c>
      <c r="G20" s="76" t="s">
        <v>31</v>
      </c>
      <c r="H20" s="169" t="s">
        <v>933</v>
      </c>
      <c r="I20" s="288">
        <v>45595</v>
      </c>
      <c r="J20" s="295">
        <v>45597</v>
      </c>
      <c r="K20" s="280">
        <f t="shared" si="12"/>
        <v>752.98</v>
      </c>
      <c r="L20" s="280">
        <f t="shared" si="13"/>
        <v>752.98</v>
      </c>
      <c r="M20" s="280">
        <v>1505.96</v>
      </c>
      <c r="N20" s="241">
        <f t="shared" si="14"/>
        <v>3</v>
      </c>
      <c r="O20" s="281">
        <v>200</v>
      </c>
      <c r="P20" s="293">
        <v>0</v>
      </c>
      <c r="Q20" s="170">
        <v>0</v>
      </c>
      <c r="R20" s="240">
        <f t="shared" si="8"/>
        <v>600</v>
      </c>
      <c r="S20" s="171">
        <f t="shared" si="9"/>
        <v>2105.96</v>
      </c>
      <c r="T20" s="171">
        <f t="shared" si="10"/>
        <v>2105.96</v>
      </c>
    </row>
    <row r="21" spans="1:20" s="263" customFormat="1" ht="30" x14ac:dyDescent="0.2">
      <c r="A21" s="126" t="s">
        <v>250</v>
      </c>
      <c r="B21" s="215" t="s">
        <v>212</v>
      </c>
      <c r="C21" s="169" t="s">
        <v>980</v>
      </c>
      <c r="D21" s="169">
        <v>415</v>
      </c>
      <c r="E21" s="169" t="s">
        <v>970</v>
      </c>
      <c r="F21" s="175" t="s">
        <v>981</v>
      </c>
      <c r="G21" s="76" t="s">
        <v>31</v>
      </c>
      <c r="H21" s="169" t="s">
        <v>933</v>
      </c>
      <c r="I21" s="288">
        <v>45595</v>
      </c>
      <c r="J21" s="295">
        <v>45604</v>
      </c>
      <c r="K21" s="280">
        <f t="shared" si="12"/>
        <v>908.98500000000001</v>
      </c>
      <c r="L21" s="280">
        <f t="shared" si="13"/>
        <v>908.98500000000001</v>
      </c>
      <c r="M21" s="280">
        <v>1817.97</v>
      </c>
      <c r="N21" s="241">
        <f t="shared" si="14"/>
        <v>10</v>
      </c>
      <c r="O21" s="281">
        <v>200</v>
      </c>
      <c r="P21" s="293">
        <v>0</v>
      </c>
      <c r="Q21" s="170">
        <v>0</v>
      </c>
      <c r="R21" s="240">
        <f t="shared" si="8"/>
        <v>2000</v>
      </c>
      <c r="S21" s="171">
        <f t="shared" si="9"/>
        <v>3817.9700000000003</v>
      </c>
      <c r="T21" s="171">
        <f t="shared" si="10"/>
        <v>3817.9700000000003</v>
      </c>
    </row>
    <row r="22" spans="1:20" s="263" customFormat="1" ht="15" customHeight="1" x14ac:dyDescent="0.2">
      <c r="A22" s="126" t="s">
        <v>250</v>
      </c>
      <c r="B22" s="126" t="s">
        <v>250</v>
      </c>
      <c r="C22" s="169" t="s">
        <v>670</v>
      </c>
      <c r="D22" s="94">
        <v>383</v>
      </c>
      <c r="E22" s="175" t="s">
        <v>900</v>
      </c>
      <c r="F22" s="169" t="s">
        <v>982</v>
      </c>
      <c r="G22" s="76" t="s">
        <v>31</v>
      </c>
      <c r="H22" s="169" t="s">
        <v>933</v>
      </c>
      <c r="I22" s="288">
        <v>45594</v>
      </c>
      <c r="J22" s="295">
        <v>45596</v>
      </c>
      <c r="K22" s="280">
        <f t="shared" si="12"/>
        <v>781.98</v>
      </c>
      <c r="L22" s="280">
        <f t="shared" si="13"/>
        <v>781.98</v>
      </c>
      <c r="M22" s="280">
        <v>1563.96</v>
      </c>
      <c r="N22" s="241">
        <f t="shared" si="14"/>
        <v>3</v>
      </c>
      <c r="O22" s="281">
        <v>200</v>
      </c>
      <c r="P22" s="293">
        <v>0</v>
      </c>
      <c r="Q22" s="170">
        <v>0</v>
      </c>
      <c r="R22" s="240">
        <f t="shared" si="8"/>
        <v>600</v>
      </c>
      <c r="S22" s="171">
        <f t="shared" si="9"/>
        <v>2163.96</v>
      </c>
      <c r="T22" s="171">
        <f t="shared" si="10"/>
        <v>2163.96</v>
      </c>
    </row>
    <row r="23" spans="1:20" s="263" customFormat="1" ht="15" customHeight="1" x14ac:dyDescent="0.2">
      <c r="A23" s="154" t="s">
        <v>250</v>
      </c>
      <c r="B23" s="215" t="s">
        <v>901</v>
      </c>
      <c r="C23" s="164" t="s">
        <v>802</v>
      </c>
      <c r="D23" s="217">
        <v>404</v>
      </c>
      <c r="E23" s="175" t="s">
        <v>898</v>
      </c>
      <c r="F23" s="169" t="s">
        <v>982</v>
      </c>
      <c r="G23" s="76" t="s">
        <v>31</v>
      </c>
      <c r="H23" s="169" t="s">
        <v>933</v>
      </c>
      <c r="I23" s="288">
        <v>45594</v>
      </c>
      <c r="J23" s="295">
        <v>45596</v>
      </c>
      <c r="K23" s="280">
        <f t="shared" si="12"/>
        <v>781.98</v>
      </c>
      <c r="L23" s="280">
        <f t="shared" si="13"/>
        <v>781.98</v>
      </c>
      <c r="M23" s="280">
        <v>1563.96</v>
      </c>
      <c r="N23" s="241">
        <f t="shared" si="14"/>
        <v>3</v>
      </c>
      <c r="O23" s="281">
        <v>200</v>
      </c>
      <c r="P23" s="293">
        <v>0</v>
      </c>
      <c r="Q23" s="170">
        <v>0</v>
      </c>
      <c r="R23" s="240">
        <f t="shared" si="8"/>
        <v>600</v>
      </c>
      <c r="S23" s="171">
        <f t="shared" si="9"/>
        <v>2163.96</v>
      </c>
      <c r="T23" s="171">
        <f t="shared" si="10"/>
        <v>2163.96</v>
      </c>
    </row>
    <row r="24" spans="1:20" s="263" customFormat="1" ht="15" customHeight="1" x14ac:dyDescent="0.2">
      <c r="C24" s="169"/>
      <c r="D24" s="169"/>
      <c r="G24" s="76"/>
      <c r="H24" s="169"/>
      <c r="M24" s="201"/>
      <c r="N24" s="269"/>
      <c r="R24" s="292"/>
    </row>
    <row r="25" spans="1:20" s="263" customFormat="1" ht="15" customHeight="1" x14ac:dyDescent="0.2">
      <c r="C25" s="169"/>
      <c r="M25" s="201"/>
      <c r="N25" s="269"/>
    </row>
    <row r="26" spans="1:20" s="263" customFormat="1" ht="15" customHeight="1" x14ac:dyDescent="0.2">
      <c r="M26" s="278">
        <f>SUM(M5:M17)</f>
        <v>44654.78</v>
      </c>
      <c r="N26" s="269"/>
      <c r="S26" s="282">
        <f>SUM(S5:S25)</f>
        <v>69323.839999999997</v>
      </c>
    </row>
    <row r="29" spans="1:20" x14ac:dyDescent="0.25">
      <c r="H29" s="20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DA75-9571-438E-80E3-5E7BC2B758FE}">
  <dimension ref="A1:V28"/>
  <sheetViews>
    <sheetView showGridLines="0" zoomScale="80" zoomScaleNormal="80" workbookViewId="0">
      <selection activeCell="E35" sqref="E35"/>
    </sheetView>
  </sheetViews>
  <sheetFormatPr defaultRowHeight="15" x14ac:dyDescent="0.25"/>
  <cols>
    <col min="1" max="1" width="38.5" bestFit="1" customWidth="1"/>
    <col min="2" max="2" width="48.375" bestFit="1" customWidth="1"/>
    <col min="3" max="3" width="45.125" style="165" bestFit="1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37.875" style="165" bestFit="1" customWidth="1"/>
    <col min="9" max="9" width="11.5" style="165" bestFit="1" customWidth="1"/>
    <col min="10" max="10" width="9.875" style="165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</row>
    <row r="2" spans="1:22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88"/>
      <c r="J2" s="388"/>
      <c r="K2" s="488" t="s">
        <v>7</v>
      </c>
      <c r="L2" s="488"/>
      <c r="M2" s="488"/>
      <c r="N2" s="335" t="s">
        <v>1</v>
      </c>
      <c r="O2" s="335"/>
      <c r="P2" s="335"/>
      <c r="Q2" s="335"/>
      <c r="R2" s="335"/>
      <c r="S2" s="335"/>
      <c r="T2" s="335" t="s">
        <v>8</v>
      </c>
      <c r="U2" s="489" t="s">
        <v>9</v>
      </c>
    </row>
    <row r="3" spans="1:22" s="167" customFormat="1" x14ac:dyDescent="0.2">
      <c r="A3" s="473" t="s">
        <v>10</v>
      </c>
      <c r="B3" s="473" t="s">
        <v>11</v>
      </c>
      <c r="C3" s="491" t="s">
        <v>12</v>
      </c>
      <c r="D3" s="473" t="s">
        <v>13</v>
      </c>
      <c r="E3" s="493" t="s">
        <v>14</v>
      </c>
      <c r="F3" s="491" t="s">
        <v>15</v>
      </c>
      <c r="G3" s="473" t="s">
        <v>16</v>
      </c>
      <c r="H3" s="477" t="s">
        <v>859</v>
      </c>
      <c r="I3" s="480" t="s">
        <v>19</v>
      </c>
      <c r="J3" s="480" t="s">
        <v>20</v>
      </c>
      <c r="K3" s="482" t="s">
        <v>21</v>
      </c>
      <c r="L3" s="484" t="s">
        <v>22</v>
      </c>
      <c r="M3" s="486" t="s">
        <v>23</v>
      </c>
      <c r="N3" s="486" t="s">
        <v>24</v>
      </c>
      <c r="O3" s="486"/>
      <c r="P3" s="472" t="s">
        <v>25</v>
      </c>
      <c r="Q3" s="472"/>
      <c r="R3" s="473" t="s">
        <v>26</v>
      </c>
      <c r="S3" s="472" t="s">
        <v>23</v>
      </c>
      <c r="T3" s="335"/>
      <c r="U3" s="489"/>
    </row>
    <row r="4" spans="1:22" s="167" customFormat="1" x14ac:dyDescent="0.2">
      <c r="A4" s="474"/>
      <c r="B4" s="474"/>
      <c r="C4" s="492"/>
      <c r="D4" s="474"/>
      <c r="E4" s="494"/>
      <c r="F4" s="492"/>
      <c r="G4" s="474"/>
      <c r="H4" s="478"/>
      <c r="I4" s="481"/>
      <c r="J4" s="481"/>
      <c r="K4" s="483"/>
      <c r="L4" s="485"/>
      <c r="M4" s="487"/>
      <c r="N4" s="209" t="s">
        <v>2</v>
      </c>
      <c r="O4" s="210" t="s">
        <v>30</v>
      </c>
      <c r="P4" s="211" t="s">
        <v>2</v>
      </c>
      <c r="Q4" s="212" t="s">
        <v>30</v>
      </c>
      <c r="R4" s="474"/>
      <c r="S4" s="479"/>
      <c r="T4" s="388"/>
      <c r="U4" s="490"/>
    </row>
    <row r="5" spans="1:22" s="119" customFormat="1" x14ac:dyDescent="0.2">
      <c r="A5" s="285" t="s">
        <v>229</v>
      </c>
      <c r="B5" s="296" t="s">
        <v>990</v>
      </c>
      <c r="C5" s="296" t="s">
        <v>987</v>
      </c>
      <c r="D5" s="217">
        <v>315</v>
      </c>
      <c r="E5" s="175" t="s">
        <v>988</v>
      </c>
      <c r="F5" s="191" t="s">
        <v>1003</v>
      </c>
      <c r="G5" s="76" t="s">
        <v>31</v>
      </c>
      <c r="H5" s="169" t="s">
        <v>989</v>
      </c>
      <c r="I5" s="195">
        <v>45601</v>
      </c>
      <c r="J5" s="264">
        <v>45603</v>
      </c>
      <c r="K5" s="279">
        <v>1598.54</v>
      </c>
      <c r="L5" s="279">
        <v>1076.97</v>
      </c>
      <c r="M5" s="300">
        <f>K5+L5</f>
        <v>2675.51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>N5*O5+P5*Q5</f>
        <v>600</v>
      </c>
      <c r="S5" s="306">
        <f>M5+R5</f>
        <v>3275.51</v>
      </c>
      <c r="T5" s="70">
        <f t="shared" ref="T5:T14" si="0">S5</f>
        <v>3275.51</v>
      </c>
      <c r="U5" s="169"/>
      <c r="V5" s="94"/>
    </row>
    <row r="6" spans="1:22" x14ac:dyDescent="0.2">
      <c r="A6" s="262" t="s">
        <v>229</v>
      </c>
      <c r="B6" s="297" t="s">
        <v>993</v>
      </c>
      <c r="C6" s="296" t="s">
        <v>991</v>
      </c>
      <c r="D6" s="247">
        <v>248</v>
      </c>
      <c r="E6" s="175" t="s">
        <v>988</v>
      </c>
      <c r="F6" s="191" t="s">
        <v>992</v>
      </c>
      <c r="G6" s="76" t="s">
        <v>31</v>
      </c>
      <c r="H6" s="169" t="s">
        <v>989</v>
      </c>
      <c r="I6" s="195">
        <v>45599</v>
      </c>
      <c r="J6" s="264">
        <v>45605</v>
      </c>
      <c r="K6" s="265">
        <v>1426.22</v>
      </c>
      <c r="L6" s="265">
        <v>987.23</v>
      </c>
      <c r="M6" s="279">
        <f>K6+L6</f>
        <v>2413.4499999999998</v>
      </c>
      <c r="N6" s="194">
        <f>(J6-I6)+1</f>
        <v>7</v>
      </c>
      <c r="O6" s="281">
        <v>200</v>
      </c>
      <c r="P6" s="293">
        <v>0</v>
      </c>
      <c r="Q6" s="236">
        <v>0</v>
      </c>
      <c r="R6" s="291">
        <f t="shared" ref="R6:R10" si="1">N6*O6+P6*Q6</f>
        <v>1400</v>
      </c>
      <c r="S6" s="232">
        <f t="shared" ref="S6:S14" si="2">M6+R6</f>
        <v>3813.45</v>
      </c>
      <c r="T6" s="232">
        <f t="shared" si="0"/>
        <v>3813.45</v>
      </c>
      <c r="U6" s="169"/>
      <c r="V6" s="94"/>
    </row>
    <row r="7" spans="1:22" ht="30" x14ac:dyDescent="0.2">
      <c r="A7" s="262" t="s">
        <v>229</v>
      </c>
      <c r="B7" s="262" t="s">
        <v>229</v>
      </c>
      <c r="C7" s="164" t="s">
        <v>858</v>
      </c>
      <c r="D7" s="94">
        <v>0</v>
      </c>
      <c r="E7" s="175" t="s">
        <v>90</v>
      </c>
      <c r="F7" s="169" t="s">
        <v>994</v>
      </c>
      <c r="G7" s="286" t="s">
        <v>764</v>
      </c>
      <c r="H7" s="169" t="s">
        <v>995</v>
      </c>
      <c r="I7" s="195">
        <v>45609</v>
      </c>
      <c r="J7" s="264">
        <v>45612</v>
      </c>
      <c r="K7" s="265">
        <f>M7/2</f>
        <v>2902.395</v>
      </c>
      <c r="L7" s="265">
        <f>M7/2</f>
        <v>2902.395</v>
      </c>
      <c r="M7" s="280">
        <v>5804.79</v>
      </c>
      <c r="N7" s="194">
        <v>0</v>
      </c>
      <c r="O7" s="284">
        <v>200</v>
      </c>
      <c r="P7" s="293">
        <v>0</v>
      </c>
      <c r="Q7" s="236">
        <v>0</v>
      </c>
      <c r="R7" s="291">
        <f>N7*O7</f>
        <v>0</v>
      </c>
      <c r="S7" s="233">
        <f>M7+R7</f>
        <v>5804.79</v>
      </c>
      <c r="T7" s="232">
        <f t="shared" si="0"/>
        <v>5804.79</v>
      </c>
      <c r="U7" s="169"/>
      <c r="V7" s="94"/>
    </row>
    <row r="8" spans="1:22" ht="30" x14ac:dyDescent="0.2">
      <c r="A8" s="169" t="s">
        <v>279</v>
      </c>
      <c r="B8" s="297" t="s">
        <v>998</v>
      </c>
      <c r="C8" s="194" t="s">
        <v>996</v>
      </c>
      <c r="D8" s="234">
        <v>416</v>
      </c>
      <c r="E8" s="175" t="s">
        <v>1012</v>
      </c>
      <c r="F8" s="175" t="s">
        <v>1002</v>
      </c>
      <c r="G8" s="215" t="s">
        <v>31</v>
      </c>
      <c r="H8" s="169" t="s">
        <v>997</v>
      </c>
      <c r="I8" s="195">
        <v>45623</v>
      </c>
      <c r="J8" s="264">
        <v>45625</v>
      </c>
      <c r="K8" s="265">
        <f>M8/2</f>
        <v>783.39499999999998</v>
      </c>
      <c r="L8" s="265">
        <f>M8/2</f>
        <v>783.39499999999998</v>
      </c>
      <c r="M8" s="280">
        <v>1566.79</v>
      </c>
      <c r="N8" s="194">
        <f>(J8-I8)+1</f>
        <v>3</v>
      </c>
      <c r="O8" s="284">
        <v>200</v>
      </c>
      <c r="P8" s="293">
        <v>0</v>
      </c>
      <c r="Q8" s="236">
        <v>0</v>
      </c>
      <c r="R8" s="291">
        <f>N8*O8+P8*Q8</f>
        <v>600</v>
      </c>
      <c r="S8" s="232">
        <f t="shared" si="2"/>
        <v>2166.79</v>
      </c>
      <c r="T8" s="232">
        <f t="shared" si="0"/>
        <v>2166.79</v>
      </c>
      <c r="U8" s="169"/>
      <c r="V8" s="94"/>
    </row>
    <row r="9" spans="1:22" ht="30" x14ac:dyDescent="0.2">
      <c r="A9" s="299" t="s">
        <v>250</v>
      </c>
      <c r="B9" s="169" t="s">
        <v>934</v>
      </c>
      <c r="C9" s="296" t="s">
        <v>999</v>
      </c>
      <c r="D9" s="217">
        <v>74</v>
      </c>
      <c r="E9" s="175" t="s">
        <v>536</v>
      </c>
      <c r="F9" s="218" t="s">
        <v>1001</v>
      </c>
      <c r="G9" s="215" t="s">
        <v>31</v>
      </c>
      <c r="H9" s="169" t="s">
        <v>933</v>
      </c>
      <c r="I9" s="195">
        <v>45608</v>
      </c>
      <c r="J9" s="264">
        <v>45615</v>
      </c>
      <c r="K9" s="279">
        <f>M9/2</f>
        <v>1112.0450000000001</v>
      </c>
      <c r="L9" s="279">
        <f t="shared" ref="L9" si="3">M9/2</f>
        <v>1112.0450000000001</v>
      </c>
      <c r="M9" s="280">
        <v>2224.09</v>
      </c>
      <c r="N9" s="194">
        <f>(J9-I9)+1</f>
        <v>8</v>
      </c>
      <c r="O9" s="294">
        <v>200</v>
      </c>
      <c r="P9" s="293">
        <v>0</v>
      </c>
      <c r="Q9" s="170">
        <v>0</v>
      </c>
      <c r="R9" s="240">
        <f t="shared" si="1"/>
        <v>1600</v>
      </c>
      <c r="S9" s="171">
        <f t="shared" si="2"/>
        <v>3824.09</v>
      </c>
      <c r="T9" s="171">
        <f t="shared" si="0"/>
        <v>3824.09</v>
      </c>
      <c r="U9" s="169"/>
      <c r="V9" s="94"/>
    </row>
    <row r="10" spans="1:22" x14ac:dyDescent="0.2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1011</v>
      </c>
      <c r="G10" s="76" t="s">
        <v>31</v>
      </c>
      <c r="H10" s="169" t="s">
        <v>1000</v>
      </c>
      <c r="I10" s="195">
        <v>45614</v>
      </c>
      <c r="J10" s="264">
        <v>45625</v>
      </c>
      <c r="K10" s="279">
        <v>2998.94</v>
      </c>
      <c r="L10" s="279">
        <v>3920.76</v>
      </c>
      <c r="M10" s="280">
        <f>K10+L10</f>
        <v>6919.7000000000007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1"/>
        <v>0</v>
      </c>
      <c r="S10" s="171">
        <f t="shared" si="2"/>
        <v>6919.7000000000007</v>
      </c>
      <c r="T10" s="171">
        <f t="shared" si="0"/>
        <v>6919.7000000000007</v>
      </c>
      <c r="U10" s="169"/>
      <c r="V10" s="94"/>
    </row>
    <row r="11" spans="1:22" ht="30" x14ac:dyDescent="0.2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1"/>
      <c r="G11" s="76" t="s">
        <v>31</v>
      </c>
      <c r="H11" s="169" t="s">
        <v>920</v>
      </c>
      <c r="I11" s="195">
        <v>45616</v>
      </c>
      <c r="J11" s="264">
        <v>45617</v>
      </c>
      <c r="K11" s="279">
        <f>M11/2</f>
        <v>1415.0550000000001</v>
      </c>
      <c r="L11" s="279">
        <f>M11/2</f>
        <v>1415.0550000000001</v>
      </c>
      <c r="M11" s="301">
        <v>2830.11</v>
      </c>
      <c r="N11" s="194">
        <v>0</v>
      </c>
      <c r="O11" s="294">
        <v>200</v>
      </c>
      <c r="P11" s="293">
        <v>0</v>
      </c>
      <c r="Q11" s="170">
        <v>0</v>
      </c>
      <c r="R11" s="240">
        <f>N11*O11+P11*Q11</f>
        <v>0</v>
      </c>
      <c r="S11" s="171">
        <f t="shared" si="2"/>
        <v>2830.11</v>
      </c>
      <c r="T11" s="171">
        <f t="shared" si="0"/>
        <v>2830.11</v>
      </c>
      <c r="U11" s="169"/>
      <c r="V11" s="94"/>
    </row>
    <row r="12" spans="1:22" s="167" customFormat="1" ht="30" x14ac:dyDescent="0.2">
      <c r="A12" s="126" t="s">
        <v>250</v>
      </c>
      <c r="B12" s="169" t="s">
        <v>934</v>
      </c>
      <c r="C12" s="169" t="s">
        <v>642</v>
      </c>
      <c r="D12" s="94">
        <v>252</v>
      </c>
      <c r="E12" s="175" t="s">
        <v>536</v>
      </c>
      <c r="F12" s="175" t="s">
        <v>1010</v>
      </c>
      <c r="G12" s="76" t="s">
        <v>31</v>
      </c>
      <c r="H12" s="169" t="s">
        <v>933</v>
      </c>
      <c r="I12" s="195">
        <v>45600</v>
      </c>
      <c r="J12" s="264">
        <v>45615</v>
      </c>
      <c r="K12" s="265">
        <f>$M12/2</f>
        <v>1472.22</v>
      </c>
      <c r="L12" s="265">
        <f>$M$12/2</f>
        <v>1472.22</v>
      </c>
      <c r="M12" s="302">
        <f>1454.96+1489.48</f>
        <v>2944.44</v>
      </c>
      <c r="N12" s="241">
        <f>(J12-I12)+1</f>
        <v>16</v>
      </c>
      <c r="O12" s="294">
        <v>200</v>
      </c>
      <c r="P12" s="293">
        <v>0</v>
      </c>
      <c r="Q12" s="170">
        <v>0</v>
      </c>
      <c r="R12" s="240">
        <f t="shared" ref="R12:R14" si="4">N12*O12+P12*Q12</f>
        <v>3200</v>
      </c>
      <c r="S12" s="171">
        <f t="shared" si="2"/>
        <v>6144.4400000000005</v>
      </c>
      <c r="T12" s="171">
        <f t="shared" si="0"/>
        <v>6144.4400000000005</v>
      </c>
      <c r="U12" s="169"/>
      <c r="V12" s="94"/>
    </row>
    <row r="13" spans="1:22" x14ac:dyDescent="0.2">
      <c r="A13" s="126" t="s">
        <v>279</v>
      </c>
      <c r="B13" s="296" t="s">
        <v>1006</v>
      </c>
      <c r="C13" s="194" t="s">
        <v>1004</v>
      </c>
      <c r="D13" s="94">
        <v>412</v>
      </c>
      <c r="E13" s="298" t="s">
        <v>1008</v>
      </c>
      <c r="F13" s="175" t="s">
        <v>1009</v>
      </c>
      <c r="G13" s="76" t="s">
        <v>31</v>
      </c>
      <c r="H13" s="169" t="s">
        <v>997</v>
      </c>
      <c r="I13" s="195">
        <v>45623</v>
      </c>
      <c r="J13" s="264">
        <v>45625</v>
      </c>
      <c r="K13" s="265">
        <f>$M$13/2</f>
        <v>1051.9000000000001</v>
      </c>
      <c r="L13" s="265">
        <f>$M13/2</f>
        <v>1051.9000000000001</v>
      </c>
      <c r="M13" s="265">
        <v>2103.8000000000002</v>
      </c>
      <c r="N13" s="241">
        <f>(J13-I13)+1</f>
        <v>3</v>
      </c>
      <c r="O13" s="294">
        <v>200</v>
      </c>
      <c r="P13" s="293">
        <v>0</v>
      </c>
      <c r="Q13" s="170">
        <v>0</v>
      </c>
      <c r="R13" s="240">
        <f t="shared" si="4"/>
        <v>600</v>
      </c>
      <c r="S13" s="171">
        <f t="shared" si="2"/>
        <v>2703.8</v>
      </c>
      <c r="T13" s="171">
        <f t="shared" si="0"/>
        <v>2703.8</v>
      </c>
      <c r="U13" s="169"/>
      <c r="V13" s="94"/>
    </row>
    <row r="14" spans="1:22" x14ac:dyDescent="0.25">
      <c r="A14" s="285" t="s">
        <v>229</v>
      </c>
      <c r="B14" s="271" t="s">
        <v>952</v>
      </c>
      <c r="C14" s="194" t="s">
        <v>1005</v>
      </c>
      <c r="D14" s="94">
        <v>127</v>
      </c>
      <c r="E14" s="175" t="s">
        <v>1007</v>
      </c>
      <c r="F14" s="175" t="s">
        <v>1009</v>
      </c>
      <c r="G14" s="285" t="s">
        <v>31</v>
      </c>
      <c r="H14" s="169" t="s">
        <v>997</v>
      </c>
      <c r="I14" s="195">
        <v>45622</v>
      </c>
      <c r="J14" s="264">
        <v>45625</v>
      </c>
      <c r="K14" s="280">
        <f>M14/2</f>
        <v>891.13499999999999</v>
      </c>
      <c r="L14" s="280">
        <f>M14/2</f>
        <v>891.13499999999999</v>
      </c>
      <c r="M14" s="280">
        <v>1782.27</v>
      </c>
      <c r="N14" s="241">
        <f>(J14-I14)+1</f>
        <v>4</v>
      </c>
      <c r="O14" s="281">
        <v>200</v>
      </c>
      <c r="P14" s="293">
        <v>0</v>
      </c>
      <c r="Q14" s="170">
        <v>0</v>
      </c>
      <c r="R14" s="240">
        <f t="shared" si="4"/>
        <v>800</v>
      </c>
      <c r="S14" s="171">
        <f t="shared" si="2"/>
        <v>2582.27</v>
      </c>
      <c r="T14" s="171">
        <f t="shared" si="0"/>
        <v>2582.27</v>
      </c>
      <c r="U14" s="168"/>
      <c r="V14" s="44"/>
    </row>
    <row r="15" spans="1:22" x14ac:dyDescent="0.25">
      <c r="A15" s="285"/>
      <c r="B15" s="271"/>
      <c r="C15" s="169"/>
      <c r="D15" s="94"/>
      <c r="E15" s="175"/>
      <c r="F15" s="221"/>
      <c r="G15" s="285"/>
      <c r="H15" s="169"/>
      <c r="I15" s="195"/>
      <c r="J15" s="264"/>
      <c r="K15" s="280"/>
      <c r="L15" s="280"/>
      <c r="M15" s="280"/>
      <c r="N15" s="241"/>
      <c r="O15" s="281"/>
      <c r="P15" s="293"/>
      <c r="Q15" s="170"/>
      <c r="R15" s="240"/>
      <c r="S15" s="171"/>
      <c r="T15" s="171"/>
      <c r="U15" s="168"/>
      <c r="V15" s="44"/>
    </row>
    <row r="16" spans="1:22" s="263" customFormat="1" ht="15" customHeight="1" x14ac:dyDescent="0.2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ht="27" customHeight="1" x14ac:dyDescent="0.2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2">
      <c r="A18" s="126"/>
      <c r="B18" s="215"/>
      <c r="C18" s="169"/>
      <c r="D18" s="169"/>
      <c r="E18" s="169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2">
      <c r="A19" s="126"/>
      <c r="B19" s="215"/>
      <c r="C19" s="169"/>
      <c r="D19" s="169"/>
      <c r="E19" s="169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2">
      <c r="A20" s="126"/>
      <c r="B20" s="215"/>
      <c r="C20" s="169"/>
      <c r="D20" s="169"/>
      <c r="E20" s="169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2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2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2">
      <c r="C23" s="169"/>
      <c r="D23" s="169"/>
      <c r="G23" s="76"/>
      <c r="H23" s="169"/>
      <c r="M23" s="201"/>
      <c r="N23" s="269"/>
      <c r="R23" s="292"/>
    </row>
    <row r="24" spans="1:20" s="263" customFormat="1" ht="15" customHeight="1" x14ac:dyDescent="0.2">
      <c r="C24" s="169"/>
      <c r="M24" s="201"/>
      <c r="N24" s="269"/>
    </row>
    <row r="25" spans="1:20" s="263" customFormat="1" ht="15" customHeight="1" x14ac:dyDescent="0.2">
      <c r="M25" s="278">
        <f>SUM(M5:M16)</f>
        <v>31264.95</v>
      </c>
      <c r="N25" s="269"/>
      <c r="S25" s="282">
        <f>SUM(S5:S24)</f>
        <v>40064.950000000004</v>
      </c>
    </row>
    <row r="28" spans="1:20" x14ac:dyDescent="0.25">
      <c r="H28" s="20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E490-9198-4D2A-8BE6-AAC3CDDD2542}">
  <sheetPr codeName="Planilha1"/>
  <dimension ref="A1:V36"/>
  <sheetViews>
    <sheetView showGridLines="0" zoomScale="90" zoomScaleNormal="90" workbookViewId="0">
      <selection activeCell="B17" sqref="B17"/>
    </sheetView>
  </sheetViews>
  <sheetFormatPr defaultRowHeight="15" x14ac:dyDescent="0.25"/>
  <cols>
    <col min="1" max="1" width="38.5" bestFit="1" customWidth="1"/>
    <col min="2" max="2" width="43.375" customWidth="1"/>
    <col min="3" max="3" width="38.625" style="165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29" style="165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</row>
    <row r="2" spans="1:22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88"/>
      <c r="J2" s="388"/>
      <c r="K2" s="488" t="s">
        <v>7</v>
      </c>
      <c r="L2" s="488"/>
      <c r="M2" s="488"/>
      <c r="N2" s="335" t="s">
        <v>1</v>
      </c>
      <c r="O2" s="335"/>
      <c r="P2" s="335"/>
      <c r="Q2" s="335"/>
      <c r="R2" s="335"/>
      <c r="S2" s="335"/>
      <c r="T2" s="335" t="s">
        <v>8</v>
      </c>
      <c r="U2" s="489" t="s">
        <v>9</v>
      </c>
    </row>
    <row r="3" spans="1:22" s="167" customFormat="1" x14ac:dyDescent="0.2">
      <c r="A3" s="473" t="s">
        <v>10</v>
      </c>
      <c r="B3" s="473" t="s">
        <v>11</v>
      </c>
      <c r="C3" s="491" t="s">
        <v>12</v>
      </c>
      <c r="D3" s="473" t="s">
        <v>13</v>
      </c>
      <c r="E3" s="493" t="s">
        <v>14</v>
      </c>
      <c r="F3" s="491" t="s">
        <v>15</v>
      </c>
      <c r="G3" s="473" t="s">
        <v>16</v>
      </c>
      <c r="H3" s="477" t="s">
        <v>859</v>
      </c>
      <c r="I3" s="480" t="s">
        <v>19</v>
      </c>
      <c r="J3" s="480" t="s">
        <v>20</v>
      </c>
      <c r="K3" s="482" t="s">
        <v>21</v>
      </c>
      <c r="L3" s="484" t="s">
        <v>22</v>
      </c>
      <c r="M3" s="486" t="s">
        <v>23</v>
      </c>
      <c r="N3" s="486" t="s">
        <v>24</v>
      </c>
      <c r="O3" s="486"/>
      <c r="P3" s="472" t="s">
        <v>25</v>
      </c>
      <c r="Q3" s="472"/>
      <c r="R3" s="473" t="s">
        <v>26</v>
      </c>
      <c r="S3" s="472" t="s">
        <v>23</v>
      </c>
      <c r="T3" s="335"/>
      <c r="U3" s="489"/>
    </row>
    <row r="4" spans="1:22" s="167" customFormat="1" x14ac:dyDescent="0.2">
      <c r="A4" s="474"/>
      <c r="B4" s="474"/>
      <c r="C4" s="492"/>
      <c r="D4" s="474"/>
      <c r="E4" s="494"/>
      <c r="F4" s="492"/>
      <c r="G4" s="474"/>
      <c r="H4" s="478"/>
      <c r="I4" s="481"/>
      <c r="J4" s="481"/>
      <c r="K4" s="483"/>
      <c r="L4" s="485"/>
      <c r="M4" s="487"/>
      <c r="N4" s="209" t="s">
        <v>2</v>
      </c>
      <c r="O4" s="210" t="s">
        <v>30</v>
      </c>
      <c r="P4" s="211" t="s">
        <v>2</v>
      </c>
      <c r="Q4" s="212" t="s">
        <v>30</v>
      </c>
      <c r="R4" s="474"/>
      <c r="S4" s="479"/>
      <c r="T4" s="388"/>
      <c r="U4" s="490"/>
    </row>
    <row r="5" spans="1:22" s="119" customFormat="1" ht="30" x14ac:dyDescent="0.2">
      <c r="A5" s="262" t="s">
        <v>229</v>
      </c>
      <c r="B5" s="262" t="s">
        <v>229</v>
      </c>
      <c r="C5" s="296" t="s">
        <v>858</v>
      </c>
      <c r="D5" s="217">
        <v>0</v>
      </c>
      <c r="E5" s="175" t="s">
        <v>90</v>
      </c>
      <c r="F5" s="504" t="s">
        <v>1018</v>
      </c>
      <c r="G5" s="495" t="s">
        <v>31</v>
      </c>
      <c r="H5" s="169" t="s">
        <v>860</v>
      </c>
      <c r="I5" s="195">
        <v>45635</v>
      </c>
      <c r="J5" s="195"/>
      <c r="K5" s="279">
        <v>1241.8</v>
      </c>
      <c r="L5" s="79"/>
      <c r="M5" s="279">
        <v>1241.8</v>
      </c>
      <c r="N5" s="194">
        <v>0</v>
      </c>
      <c r="O5" s="305">
        <v>200</v>
      </c>
      <c r="P5" s="293">
        <v>0</v>
      </c>
      <c r="Q5" s="130">
        <v>0</v>
      </c>
      <c r="R5" s="307">
        <f>(N5*O5)+(P5*Q5)</f>
        <v>0</v>
      </c>
      <c r="S5" s="306">
        <f>M5+R5</f>
        <v>1241.8</v>
      </c>
      <c r="T5" s="306">
        <f>S5</f>
        <v>1241.8</v>
      </c>
      <c r="U5" s="169"/>
      <c r="V5" s="94"/>
    </row>
    <row r="6" spans="1:22" ht="30" x14ac:dyDescent="0.25">
      <c r="A6" s="262" t="s">
        <v>229</v>
      </c>
      <c r="B6" s="262" t="s">
        <v>229</v>
      </c>
      <c r="C6" s="296" t="s">
        <v>858</v>
      </c>
      <c r="D6" s="217">
        <v>0</v>
      </c>
      <c r="E6" s="175" t="s">
        <v>90</v>
      </c>
      <c r="F6" s="505"/>
      <c r="G6" s="510"/>
      <c r="H6" s="169" t="s">
        <v>863</v>
      </c>
      <c r="J6" s="195">
        <v>45637</v>
      </c>
      <c r="K6" s="265"/>
      <c r="L6" s="279">
        <v>1503.07</v>
      </c>
      <c r="M6" s="279">
        <v>1503.07</v>
      </c>
      <c r="N6" s="194">
        <v>0</v>
      </c>
      <c r="O6" s="305">
        <v>200</v>
      </c>
      <c r="P6" s="293">
        <v>0</v>
      </c>
      <c r="Q6" s="130">
        <v>0</v>
      </c>
      <c r="R6" s="307">
        <f t="shared" ref="R6:R15" si="0">N6*O6+P6*Q6</f>
        <v>0</v>
      </c>
      <c r="S6" s="306">
        <f t="shared" ref="S6:S14" si="1">M6+R6</f>
        <v>1503.07</v>
      </c>
      <c r="T6" s="306">
        <f t="shared" ref="T6:T15" si="2">S6</f>
        <v>1503.07</v>
      </c>
      <c r="U6" s="169"/>
      <c r="V6" s="94"/>
    </row>
    <row r="7" spans="1:22" ht="30" x14ac:dyDescent="0.2">
      <c r="A7" s="262" t="s">
        <v>229</v>
      </c>
      <c r="B7" s="262" t="s">
        <v>229</v>
      </c>
      <c r="C7" s="164" t="s">
        <v>858</v>
      </c>
      <c r="D7" s="217">
        <v>0</v>
      </c>
      <c r="E7" s="175" t="s">
        <v>90</v>
      </c>
      <c r="F7" s="191" t="s">
        <v>1018</v>
      </c>
      <c r="G7" s="215" t="s">
        <v>31</v>
      </c>
      <c r="H7" s="169" t="s">
        <v>861</v>
      </c>
      <c r="I7" s="195">
        <v>45634</v>
      </c>
      <c r="J7" s="264"/>
      <c r="K7" s="280">
        <f>M7</f>
        <v>500</v>
      </c>
      <c r="L7" s="265"/>
      <c r="M7" s="280">
        <v>500</v>
      </c>
      <c r="N7" s="194">
        <v>0</v>
      </c>
      <c r="O7" s="305">
        <v>200</v>
      </c>
      <c r="P7" s="293">
        <v>0</v>
      </c>
      <c r="Q7" s="130">
        <v>0</v>
      </c>
      <c r="R7" s="307">
        <f t="shared" ref="R7" si="3">N7*O7+P7*Q7</f>
        <v>0</v>
      </c>
      <c r="S7" s="306">
        <f t="shared" ref="S7" si="4">M7+R7</f>
        <v>500</v>
      </c>
      <c r="T7" s="306">
        <f t="shared" ref="T7" si="5">S7</f>
        <v>500</v>
      </c>
      <c r="U7" s="169" t="s">
        <v>937</v>
      </c>
      <c r="V7" s="94"/>
    </row>
    <row r="8" spans="1:22" x14ac:dyDescent="0.2">
      <c r="A8" s="126" t="s">
        <v>250</v>
      </c>
      <c r="B8" s="126" t="s">
        <v>250</v>
      </c>
      <c r="C8" s="164" t="s">
        <v>378</v>
      </c>
      <c r="D8" s="304">
        <v>0</v>
      </c>
      <c r="E8" s="175" t="s">
        <v>896</v>
      </c>
      <c r="F8" s="449" t="s">
        <v>1019</v>
      </c>
      <c r="G8" s="215" t="s">
        <v>31</v>
      </c>
      <c r="H8" s="169" t="s">
        <v>1016</v>
      </c>
      <c r="I8" s="195">
        <v>45632</v>
      </c>
      <c r="J8" s="264"/>
      <c r="K8" s="265">
        <v>2616.17</v>
      </c>
      <c r="L8" s="265"/>
      <c r="M8" s="280">
        <v>2616.17</v>
      </c>
      <c r="N8" s="194">
        <v>0</v>
      </c>
      <c r="O8" s="305">
        <v>200</v>
      </c>
      <c r="P8" s="293">
        <v>0</v>
      </c>
      <c r="Q8" s="130">
        <v>0</v>
      </c>
      <c r="R8" s="307">
        <f t="shared" si="0"/>
        <v>0</v>
      </c>
      <c r="S8" s="306">
        <f t="shared" si="1"/>
        <v>2616.17</v>
      </c>
      <c r="T8" s="306">
        <f t="shared" si="2"/>
        <v>2616.17</v>
      </c>
      <c r="U8" s="169"/>
      <c r="V8" s="94"/>
    </row>
    <row r="9" spans="1:22" x14ac:dyDescent="0.2">
      <c r="A9" s="126" t="s">
        <v>250</v>
      </c>
      <c r="B9" s="126" t="s">
        <v>250</v>
      </c>
      <c r="C9" s="194" t="s">
        <v>378</v>
      </c>
      <c r="D9" s="304">
        <v>0</v>
      </c>
      <c r="E9" s="175" t="s">
        <v>896</v>
      </c>
      <c r="F9" s="451"/>
      <c r="G9" s="215" t="s">
        <v>31</v>
      </c>
      <c r="H9" s="169" t="s">
        <v>863</v>
      </c>
      <c r="I9" s="195">
        <v>45636</v>
      </c>
      <c r="J9" s="264"/>
      <c r="K9" s="265"/>
      <c r="L9" s="280">
        <v>2125.77</v>
      </c>
      <c r="M9" s="280">
        <v>2125.77</v>
      </c>
      <c r="N9" s="194">
        <v>0</v>
      </c>
      <c r="O9" s="305">
        <v>200</v>
      </c>
      <c r="P9" s="293">
        <v>0</v>
      </c>
      <c r="Q9" s="130">
        <v>0</v>
      </c>
      <c r="R9" s="307">
        <f t="shared" si="0"/>
        <v>0</v>
      </c>
      <c r="S9" s="306">
        <f t="shared" si="1"/>
        <v>2125.77</v>
      </c>
      <c r="T9" s="306">
        <f t="shared" si="2"/>
        <v>2125.77</v>
      </c>
      <c r="U9" s="169"/>
      <c r="V9" s="94"/>
    </row>
    <row r="10" spans="1:22" ht="42" customHeight="1" x14ac:dyDescent="0.2">
      <c r="A10" s="126" t="s">
        <v>250</v>
      </c>
      <c r="B10" s="215" t="s">
        <v>922</v>
      </c>
      <c r="C10" s="296" t="s">
        <v>323</v>
      </c>
      <c r="D10" s="217">
        <v>87</v>
      </c>
      <c r="E10" s="175" t="s">
        <v>1015</v>
      </c>
      <c r="F10" s="175" t="s">
        <v>1020</v>
      </c>
      <c r="G10" s="215" t="s">
        <v>31</v>
      </c>
      <c r="H10" s="169" t="s">
        <v>867</v>
      </c>
      <c r="I10" s="195">
        <v>45630</v>
      </c>
      <c r="J10" s="264">
        <v>45631</v>
      </c>
      <c r="K10" s="265">
        <f t="shared" ref="K10:K15" si="6">L10</f>
        <v>700.14499999999998</v>
      </c>
      <c r="L10" s="265">
        <f t="shared" ref="L10:L15" si="7">M10/2</f>
        <v>700.14499999999998</v>
      </c>
      <c r="M10" s="280">
        <v>1400.29</v>
      </c>
      <c r="N10" s="194">
        <f>(J10-I10)+1</f>
        <v>2</v>
      </c>
      <c r="O10" s="305">
        <v>200</v>
      </c>
      <c r="P10" s="293">
        <v>0</v>
      </c>
      <c r="Q10" s="130">
        <v>0</v>
      </c>
      <c r="R10" s="307">
        <f t="shared" si="0"/>
        <v>400</v>
      </c>
      <c r="S10" s="306">
        <f t="shared" si="1"/>
        <v>1800.29</v>
      </c>
      <c r="T10" s="306">
        <f t="shared" si="2"/>
        <v>1800.29</v>
      </c>
      <c r="U10" s="169"/>
      <c r="V10" s="94"/>
    </row>
    <row r="11" spans="1:22" ht="34.5" customHeight="1" x14ac:dyDescent="0.2">
      <c r="A11" s="262" t="s">
        <v>229</v>
      </c>
      <c r="B11" s="126" t="s">
        <v>250</v>
      </c>
      <c r="C11" s="164" t="s">
        <v>873</v>
      </c>
      <c r="D11" s="217">
        <v>383</v>
      </c>
      <c r="E11" s="175" t="s">
        <v>703</v>
      </c>
      <c r="F11" s="175" t="s">
        <v>1020</v>
      </c>
      <c r="G11" s="215" t="s">
        <v>31</v>
      </c>
      <c r="H11" s="169" t="s">
        <v>867</v>
      </c>
      <c r="I11" s="195">
        <v>45630</v>
      </c>
      <c r="J11" s="264">
        <v>45631</v>
      </c>
      <c r="K11" s="265">
        <f t="shared" si="6"/>
        <v>649.14</v>
      </c>
      <c r="L11" s="265">
        <f t="shared" si="7"/>
        <v>649.14</v>
      </c>
      <c r="M11" s="280">
        <v>1298.28</v>
      </c>
      <c r="N11" s="194">
        <f t="shared" ref="N11:N15" si="8">(J11-I11)+1</f>
        <v>2</v>
      </c>
      <c r="O11" s="305">
        <v>200</v>
      </c>
      <c r="P11" s="293">
        <v>0</v>
      </c>
      <c r="Q11" s="130">
        <v>0</v>
      </c>
      <c r="R11" s="307">
        <f t="shared" si="0"/>
        <v>400</v>
      </c>
      <c r="S11" s="306">
        <f t="shared" si="1"/>
        <v>1698.28</v>
      </c>
      <c r="T11" s="306">
        <f t="shared" si="2"/>
        <v>1698.28</v>
      </c>
      <c r="U11" s="169"/>
      <c r="V11" s="94"/>
    </row>
    <row r="12" spans="1:22" s="167" customFormat="1" ht="45" x14ac:dyDescent="0.2">
      <c r="A12" s="126" t="s">
        <v>229</v>
      </c>
      <c r="B12" s="126" t="s">
        <v>362</v>
      </c>
      <c r="C12" s="169" t="s">
        <v>1013</v>
      </c>
      <c r="D12" s="167">
        <v>393</v>
      </c>
      <c r="E12" s="175" t="s">
        <v>796</v>
      </c>
      <c r="F12" s="191" t="s">
        <v>1018</v>
      </c>
      <c r="G12" s="215" t="s">
        <v>31</v>
      </c>
      <c r="H12" s="169" t="s">
        <v>860</v>
      </c>
      <c r="I12" s="195">
        <v>45634</v>
      </c>
      <c r="J12" s="264">
        <v>45636</v>
      </c>
      <c r="K12" s="265">
        <f t="shared" si="6"/>
        <v>1074.1400000000001</v>
      </c>
      <c r="L12" s="265">
        <f t="shared" si="7"/>
        <v>1074.1400000000001</v>
      </c>
      <c r="M12" s="265">
        <v>2148.2800000000002</v>
      </c>
      <c r="N12" s="194">
        <f t="shared" si="8"/>
        <v>3</v>
      </c>
      <c r="O12" s="305">
        <v>200</v>
      </c>
      <c r="P12" s="293">
        <v>0</v>
      </c>
      <c r="Q12" s="130">
        <v>0</v>
      </c>
      <c r="R12" s="307">
        <f t="shared" si="0"/>
        <v>600</v>
      </c>
      <c r="S12" s="306">
        <f t="shared" si="1"/>
        <v>2748.28</v>
      </c>
      <c r="T12" s="306">
        <f t="shared" si="2"/>
        <v>2748.28</v>
      </c>
      <c r="U12" s="169"/>
      <c r="V12" s="94"/>
    </row>
    <row r="13" spans="1:22" ht="30" x14ac:dyDescent="0.2">
      <c r="A13" s="285" t="s">
        <v>229</v>
      </c>
      <c r="B13" s="271" t="s">
        <v>1014</v>
      </c>
      <c r="C13" s="194" t="s">
        <v>1005</v>
      </c>
      <c r="D13" s="169">
        <v>127</v>
      </c>
      <c r="E13" s="303" t="s">
        <v>751</v>
      </c>
      <c r="F13" s="175" t="s">
        <v>1017</v>
      </c>
      <c r="G13" s="215" t="s">
        <v>31</v>
      </c>
      <c r="H13" s="169" t="s">
        <v>865</v>
      </c>
      <c r="I13" s="195">
        <v>45630</v>
      </c>
      <c r="J13" s="264">
        <v>45632</v>
      </c>
      <c r="K13" s="265">
        <f t="shared" si="6"/>
        <v>1553.5650000000001</v>
      </c>
      <c r="L13" s="265">
        <f t="shared" si="7"/>
        <v>1553.5650000000001</v>
      </c>
      <c r="M13" s="265">
        <v>3107.13</v>
      </c>
      <c r="N13" s="194">
        <f t="shared" si="8"/>
        <v>3</v>
      </c>
      <c r="O13" s="305">
        <v>200</v>
      </c>
      <c r="P13" s="293">
        <v>0</v>
      </c>
      <c r="Q13" s="130">
        <v>0</v>
      </c>
      <c r="R13" s="307">
        <f t="shared" si="0"/>
        <v>600</v>
      </c>
      <c r="S13" s="306">
        <f t="shared" si="1"/>
        <v>3707.13</v>
      </c>
      <c r="T13" s="306">
        <f t="shared" si="2"/>
        <v>3707.13</v>
      </c>
      <c r="U13" s="169"/>
      <c r="V13" s="94"/>
    </row>
    <row r="14" spans="1:22" ht="105" x14ac:dyDescent="0.25">
      <c r="A14" s="262" t="s">
        <v>229</v>
      </c>
      <c r="B14" s="262" t="s">
        <v>229</v>
      </c>
      <c r="C14" s="194" t="s">
        <v>858</v>
      </c>
      <c r="D14" s="217">
        <v>0</v>
      </c>
      <c r="E14" s="175" t="s">
        <v>90</v>
      </c>
      <c r="F14" s="175" t="s">
        <v>1022</v>
      </c>
      <c r="G14" s="215" t="s">
        <v>31</v>
      </c>
      <c r="H14" s="169" t="s">
        <v>865</v>
      </c>
      <c r="I14" s="195">
        <v>45642</v>
      </c>
      <c r="J14" s="264">
        <v>45644</v>
      </c>
      <c r="K14" s="265">
        <f t="shared" si="6"/>
        <v>1395.125</v>
      </c>
      <c r="L14" s="265">
        <f t="shared" si="7"/>
        <v>1395.125</v>
      </c>
      <c r="M14" s="280">
        <v>2790.25</v>
      </c>
      <c r="N14" s="194">
        <v>0</v>
      </c>
      <c r="O14" s="305">
        <v>200</v>
      </c>
      <c r="P14" s="293">
        <v>0</v>
      </c>
      <c r="Q14" s="130">
        <v>0</v>
      </c>
      <c r="R14" s="307">
        <f t="shared" si="0"/>
        <v>0</v>
      </c>
      <c r="S14" s="306">
        <f t="shared" si="1"/>
        <v>2790.25</v>
      </c>
      <c r="T14" s="306">
        <f t="shared" si="2"/>
        <v>2790.25</v>
      </c>
      <c r="U14" s="168"/>
      <c r="V14" s="44"/>
    </row>
    <row r="15" spans="1:22" ht="45" x14ac:dyDescent="0.25">
      <c r="A15" s="126" t="s">
        <v>250</v>
      </c>
      <c r="B15" s="215" t="s">
        <v>922</v>
      </c>
      <c r="C15" s="169" t="s">
        <v>343</v>
      </c>
      <c r="D15" s="169">
        <v>128</v>
      </c>
      <c r="E15" s="175" t="s">
        <v>842</v>
      </c>
      <c r="F15" s="221" t="s">
        <v>1021</v>
      </c>
      <c r="G15" s="215" t="s">
        <v>31</v>
      </c>
      <c r="H15" s="169" t="s">
        <v>867</v>
      </c>
      <c r="I15" s="195">
        <v>45636</v>
      </c>
      <c r="J15" s="264">
        <v>45637</v>
      </c>
      <c r="K15" s="265">
        <f t="shared" si="6"/>
        <v>1263.3549999999998</v>
      </c>
      <c r="L15" s="265">
        <f t="shared" si="7"/>
        <v>1263.3549999999998</v>
      </c>
      <c r="M15" s="280">
        <v>2526.7099999999996</v>
      </c>
      <c r="N15" s="194">
        <f t="shared" si="8"/>
        <v>2</v>
      </c>
      <c r="O15" s="305">
        <v>200</v>
      </c>
      <c r="P15" s="293">
        <v>0</v>
      </c>
      <c r="Q15" s="130">
        <v>0</v>
      </c>
      <c r="R15" s="307">
        <f t="shared" si="0"/>
        <v>400</v>
      </c>
      <c r="S15" s="306">
        <f>M15+R15</f>
        <v>2926.7099999999996</v>
      </c>
      <c r="T15" s="306">
        <f t="shared" si="2"/>
        <v>2926.7099999999996</v>
      </c>
      <c r="U15" s="168"/>
      <c r="V15" s="44"/>
    </row>
    <row r="16" spans="1:22" s="263" customFormat="1" ht="15" customHeight="1" x14ac:dyDescent="0.2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x14ac:dyDescent="0.2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2">
      <c r="A18" s="126"/>
      <c r="B18" s="215"/>
      <c r="C18" s="169"/>
      <c r="D18" s="169"/>
      <c r="E18" s="175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2">
      <c r="A19" s="126"/>
      <c r="B19" s="215"/>
      <c r="C19" s="169"/>
      <c r="D19" s="169"/>
      <c r="E19" s="175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2">
      <c r="A20" s="126"/>
      <c r="B20" s="215"/>
      <c r="C20" s="169"/>
      <c r="D20" s="169"/>
      <c r="E20" s="175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2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2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2">
      <c r="C23" s="169"/>
      <c r="D23" s="169"/>
      <c r="E23" s="175"/>
      <c r="G23" s="76"/>
      <c r="H23" s="169"/>
      <c r="M23" s="201"/>
      <c r="N23" s="269"/>
      <c r="R23" s="292"/>
    </row>
    <row r="24" spans="1:20" s="263" customFormat="1" ht="15" customHeight="1" x14ac:dyDescent="0.2">
      <c r="C24" s="169"/>
      <c r="E24" s="175"/>
      <c r="M24" s="201"/>
      <c r="N24" s="269"/>
    </row>
    <row r="25" spans="1:20" s="263" customFormat="1" ht="15" customHeight="1" x14ac:dyDescent="0.2">
      <c r="E25" s="175"/>
      <c r="M25" s="278">
        <f>SUM(M5:M16)</f>
        <v>21257.75</v>
      </c>
      <c r="N25" s="269"/>
      <c r="S25" s="282">
        <f>SUM(S5:S24)</f>
        <v>23657.75</v>
      </c>
    </row>
    <row r="28" spans="1:20" x14ac:dyDescent="0.25">
      <c r="H28" s="208"/>
    </row>
    <row r="33" spans="1:5" x14ac:dyDescent="0.25">
      <c r="A33" s="165"/>
      <c r="C33" s="221"/>
      <c r="D33" s="166"/>
      <c r="E33"/>
    </row>
    <row r="34" spans="1:5" x14ac:dyDescent="0.25">
      <c r="A34" s="165"/>
      <c r="C34" s="221"/>
      <c r="D34" s="166"/>
      <c r="E34"/>
    </row>
    <row r="35" spans="1:5" x14ac:dyDescent="0.25">
      <c r="A35" s="165"/>
      <c r="C35" s="221"/>
      <c r="D35" s="166"/>
      <c r="E35"/>
    </row>
    <row r="36" spans="1:5" x14ac:dyDescent="0.25">
      <c r="A36" s="165"/>
      <c r="C36" s="221"/>
      <c r="D36" s="166"/>
      <c r="E36"/>
    </row>
  </sheetData>
  <mergeCells count="28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S3:S4"/>
    <mergeCell ref="F8:F9"/>
    <mergeCell ref="P3:Q3"/>
    <mergeCell ref="I3:I4"/>
    <mergeCell ref="J3:J4"/>
    <mergeCell ref="K3:K4"/>
    <mergeCell ref="L3:L4"/>
    <mergeCell ref="M3:M4"/>
    <mergeCell ref="R3:R4"/>
    <mergeCell ref="H3:H4"/>
    <mergeCell ref="N3:O3"/>
    <mergeCell ref="F5:F6"/>
    <mergeCell ref="G5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0C57-98ED-4141-8A45-742183819CF3}">
  <dimension ref="A1:V27"/>
  <sheetViews>
    <sheetView showGridLines="0" zoomScale="90" zoomScaleNormal="90" workbookViewId="0">
      <selection activeCell="D6" sqref="D6"/>
    </sheetView>
  </sheetViews>
  <sheetFormatPr defaultRowHeight="15" x14ac:dyDescent="0.25"/>
  <cols>
    <col min="1" max="1" width="38.5" bestFit="1" customWidth="1"/>
    <col min="2" max="2" width="43.375" customWidth="1"/>
    <col min="3" max="3" width="38.625" style="165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29" style="165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</row>
    <row r="2" spans="1:22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88"/>
      <c r="J2" s="388"/>
      <c r="K2" s="488" t="s">
        <v>7</v>
      </c>
      <c r="L2" s="488"/>
      <c r="M2" s="488"/>
      <c r="N2" s="335" t="s">
        <v>1</v>
      </c>
      <c r="O2" s="335"/>
      <c r="P2" s="335"/>
      <c r="Q2" s="335"/>
      <c r="R2" s="335"/>
      <c r="S2" s="335"/>
      <c r="T2" s="335" t="s">
        <v>8</v>
      </c>
      <c r="U2" s="489" t="s">
        <v>9</v>
      </c>
    </row>
    <row r="3" spans="1:22" s="167" customFormat="1" x14ac:dyDescent="0.2">
      <c r="A3" s="473" t="s">
        <v>10</v>
      </c>
      <c r="B3" s="473" t="s">
        <v>11</v>
      </c>
      <c r="C3" s="491" t="s">
        <v>12</v>
      </c>
      <c r="D3" s="473" t="s">
        <v>13</v>
      </c>
      <c r="E3" s="493" t="s">
        <v>14</v>
      </c>
      <c r="F3" s="491" t="s">
        <v>15</v>
      </c>
      <c r="G3" s="473" t="s">
        <v>16</v>
      </c>
      <c r="H3" s="477" t="s">
        <v>859</v>
      </c>
      <c r="I3" s="480" t="s">
        <v>19</v>
      </c>
      <c r="J3" s="480" t="s">
        <v>20</v>
      </c>
      <c r="K3" s="482" t="s">
        <v>21</v>
      </c>
      <c r="L3" s="484" t="s">
        <v>22</v>
      </c>
      <c r="M3" s="486" t="s">
        <v>23</v>
      </c>
      <c r="N3" s="486" t="s">
        <v>24</v>
      </c>
      <c r="O3" s="486"/>
      <c r="P3" s="472" t="s">
        <v>25</v>
      </c>
      <c r="Q3" s="472"/>
      <c r="R3" s="473" t="s">
        <v>26</v>
      </c>
      <c r="S3" s="472" t="s">
        <v>23</v>
      </c>
      <c r="T3" s="335"/>
      <c r="U3" s="489"/>
    </row>
    <row r="4" spans="1:22" s="167" customFormat="1" x14ac:dyDescent="0.2">
      <c r="A4" s="474"/>
      <c r="B4" s="474"/>
      <c r="C4" s="492"/>
      <c r="D4" s="474"/>
      <c r="E4" s="494"/>
      <c r="F4" s="492"/>
      <c r="G4" s="474"/>
      <c r="H4" s="478"/>
      <c r="I4" s="481"/>
      <c r="J4" s="481"/>
      <c r="K4" s="483"/>
      <c r="L4" s="485"/>
      <c r="M4" s="487"/>
      <c r="N4" s="209" t="s">
        <v>2</v>
      </c>
      <c r="O4" s="210" t="s">
        <v>30</v>
      </c>
      <c r="P4" s="211" t="s">
        <v>2</v>
      </c>
      <c r="Q4" s="212" t="s">
        <v>30</v>
      </c>
      <c r="R4" s="474"/>
      <c r="S4" s="479"/>
      <c r="T4" s="388"/>
      <c r="U4" s="490"/>
    </row>
    <row r="5" spans="1:22" ht="30" x14ac:dyDescent="0.25">
      <c r="A5" s="262" t="s">
        <v>229</v>
      </c>
      <c r="B5" s="308" t="s">
        <v>993</v>
      </c>
      <c r="C5" s="194" t="s">
        <v>1023</v>
      </c>
      <c r="D5" s="217">
        <v>414</v>
      </c>
      <c r="E5" s="175" t="s">
        <v>1024</v>
      </c>
      <c r="F5" s="175" t="s">
        <v>1025</v>
      </c>
      <c r="G5" s="215" t="s">
        <v>31</v>
      </c>
      <c r="H5" s="169" t="s">
        <v>867</v>
      </c>
      <c r="I5" s="195">
        <v>45670</v>
      </c>
      <c r="J5" s="264">
        <v>45672</v>
      </c>
      <c r="K5" s="265">
        <v>944.08</v>
      </c>
      <c r="L5" s="265">
        <v>909.07</v>
      </c>
      <c r="M5" s="280">
        <f>K5+L5</f>
        <v>1853.15</v>
      </c>
      <c r="N5" s="194">
        <f>(J5-I5)+1</f>
        <v>3</v>
      </c>
      <c r="O5" s="305">
        <v>200</v>
      </c>
      <c r="P5" s="293">
        <v>0</v>
      </c>
      <c r="Q5" s="130">
        <v>0</v>
      </c>
      <c r="R5" s="307">
        <f t="shared" ref="R5" si="0">N5*O5+P5*Q5</f>
        <v>600</v>
      </c>
      <c r="S5" s="306">
        <f>M5+R5</f>
        <v>2453.15</v>
      </c>
      <c r="T5" s="306">
        <f t="shared" ref="T5" si="1">S5</f>
        <v>2453.15</v>
      </c>
      <c r="U5" s="168"/>
      <c r="V5" s="44"/>
    </row>
    <row r="6" spans="1:22" x14ac:dyDescent="0.25">
      <c r="A6" s="126"/>
      <c r="B6" s="215"/>
      <c r="C6" s="169"/>
      <c r="D6" s="169"/>
      <c r="E6" s="175"/>
      <c r="F6" s="221"/>
      <c r="G6" s="215"/>
      <c r="H6" s="169"/>
      <c r="I6" s="195"/>
      <c r="J6" s="264"/>
      <c r="K6" s="265"/>
      <c r="L6" s="265"/>
      <c r="M6" s="280"/>
      <c r="N6" s="194"/>
      <c r="O6" s="305"/>
      <c r="P6" s="293"/>
      <c r="Q6" s="130"/>
      <c r="R6" s="307"/>
      <c r="S6" s="306"/>
      <c r="T6" s="306"/>
      <c r="U6" s="168"/>
      <c r="V6" s="44"/>
    </row>
    <row r="7" spans="1:22" s="263" customFormat="1" ht="15" customHeight="1" x14ac:dyDescent="0.2">
      <c r="A7" s="262"/>
      <c r="B7" s="262"/>
      <c r="C7" s="164"/>
      <c r="D7" s="247"/>
      <c r="E7" s="175"/>
      <c r="F7" s="191"/>
      <c r="G7" s="76"/>
      <c r="H7" s="169"/>
      <c r="I7" s="288"/>
      <c r="J7" s="295"/>
      <c r="K7" s="280"/>
      <c r="L7" s="280"/>
      <c r="M7" s="280"/>
      <c r="N7" s="241"/>
      <c r="O7" s="281"/>
      <c r="P7" s="293"/>
      <c r="Q7" s="170"/>
      <c r="R7" s="240"/>
      <c r="S7" s="171"/>
      <c r="T7" s="171"/>
    </row>
    <row r="8" spans="1:22" s="263" customFormat="1" x14ac:dyDescent="0.2">
      <c r="A8" s="262"/>
      <c r="B8" s="289"/>
      <c r="C8" s="276"/>
      <c r="D8" s="267"/>
      <c r="E8" s="268"/>
      <c r="F8" s="191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ht="15" customHeight="1" x14ac:dyDescent="0.2">
      <c r="A9" s="126"/>
      <c r="B9" s="215"/>
      <c r="C9" s="169"/>
      <c r="D9" s="169"/>
      <c r="E9" s="175"/>
      <c r="F9" s="169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2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x14ac:dyDescent="0.2">
      <c r="A11" s="126"/>
      <c r="B11" s="215"/>
      <c r="C11" s="169"/>
      <c r="D11" s="169"/>
      <c r="E11" s="175"/>
      <c r="F11" s="175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2">
      <c r="A12" s="126"/>
      <c r="B12" s="126"/>
      <c r="C12" s="169"/>
      <c r="D12" s="94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2">
      <c r="A13" s="154"/>
      <c r="B13" s="215"/>
      <c r="C13" s="164"/>
      <c r="D13" s="217"/>
      <c r="E13" s="175"/>
      <c r="F13" s="169"/>
      <c r="G13" s="76"/>
      <c r="H13" s="169"/>
      <c r="I13" s="288"/>
      <c r="J13" s="295"/>
      <c r="K13" s="280"/>
      <c r="L13" s="280"/>
      <c r="M13" s="280"/>
      <c r="N13" s="241"/>
      <c r="O13" s="281"/>
      <c r="P13" s="293"/>
      <c r="Q13" s="170"/>
      <c r="R13" s="240"/>
      <c r="S13" s="171"/>
      <c r="T13" s="171"/>
    </row>
    <row r="14" spans="1:22" s="263" customFormat="1" ht="15" customHeight="1" x14ac:dyDescent="0.2">
      <c r="C14" s="169"/>
      <c r="D14" s="169"/>
      <c r="E14" s="175"/>
      <c r="G14" s="76"/>
      <c r="H14" s="169"/>
      <c r="M14" s="201"/>
      <c r="N14" s="269"/>
      <c r="R14" s="292"/>
    </row>
    <row r="15" spans="1:22" s="263" customFormat="1" ht="15" customHeight="1" x14ac:dyDescent="0.2">
      <c r="C15" s="169"/>
      <c r="E15" s="175"/>
      <c r="M15" s="201"/>
      <c r="N15" s="269"/>
    </row>
    <row r="16" spans="1:22" s="263" customFormat="1" ht="15" customHeight="1" x14ac:dyDescent="0.2">
      <c r="E16" s="175"/>
      <c r="M16" s="278">
        <f>SUM(M5:M7)</f>
        <v>1853.15</v>
      </c>
      <c r="N16" s="269"/>
      <c r="S16" s="282">
        <f>SUM(S5:S15)</f>
        <v>2453.15</v>
      </c>
    </row>
    <row r="19" spans="1:22" s="165" customFormat="1" x14ac:dyDescent="0.25">
      <c r="A19"/>
      <c r="B19"/>
      <c r="D19"/>
      <c r="E19" s="221"/>
      <c r="F19" s="166"/>
      <c r="G19"/>
      <c r="H19" s="208"/>
      <c r="K19" s="208"/>
      <c r="L19" s="208"/>
      <c r="N19" s="166"/>
      <c r="P19"/>
      <c r="Q19"/>
      <c r="R19"/>
      <c r="S19"/>
      <c r="T19"/>
      <c r="V19"/>
    </row>
    <row r="24" spans="1:22" s="166" customFormat="1" x14ac:dyDescent="0.25">
      <c r="A24" s="165"/>
      <c r="B24"/>
      <c r="C24" s="221"/>
      <c r="E24"/>
      <c r="G24"/>
      <c r="H24" s="165"/>
      <c r="I24" s="165"/>
      <c r="J24" s="165"/>
      <c r="K24" s="208"/>
      <c r="L24" s="208"/>
      <c r="M24" s="165"/>
      <c r="O24" s="165"/>
      <c r="P24"/>
      <c r="Q24"/>
      <c r="R24"/>
      <c r="S24"/>
      <c r="T24"/>
      <c r="U24" s="165"/>
      <c r="V24"/>
    </row>
    <row r="25" spans="1:22" s="166" customFormat="1" x14ac:dyDescent="0.25">
      <c r="A25" s="165"/>
      <c r="B25"/>
      <c r="C25" s="221"/>
      <c r="E25"/>
      <c r="G25"/>
      <c r="H25" s="165"/>
      <c r="I25" s="165"/>
      <c r="J25" s="165"/>
      <c r="K25" s="208"/>
      <c r="L25" s="208"/>
      <c r="M25" s="165"/>
      <c r="O25" s="165"/>
      <c r="P25"/>
      <c r="Q25"/>
      <c r="R25"/>
      <c r="S25"/>
      <c r="T25"/>
      <c r="U25" s="165"/>
      <c r="V25"/>
    </row>
    <row r="26" spans="1:22" s="166" customFormat="1" x14ac:dyDescent="0.25">
      <c r="A26" s="165"/>
      <c r="B26"/>
      <c r="C26" s="221"/>
      <c r="E26"/>
      <c r="G26"/>
      <c r="H26" s="165"/>
      <c r="I26" s="165"/>
      <c r="J26" s="165"/>
      <c r="K26" s="208"/>
      <c r="L26" s="208"/>
      <c r="M26" s="165"/>
      <c r="O26" s="165"/>
      <c r="P26"/>
      <c r="Q26"/>
      <c r="R26"/>
      <c r="S26"/>
      <c r="T26"/>
      <c r="U26" s="165"/>
      <c r="V26"/>
    </row>
    <row r="27" spans="1:22" s="166" customFormat="1" x14ac:dyDescent="0.25">
      <c r="A27" s="165"/>
      <c r="B27"/>
      <c r="C27" s="221"/>
      <c r="E27"/>
      <c r="G27"/>
      <c r="H27" s="165"/>
      <c r="I27" s="165"/>
      <c r="J27" s="165"/>
      <c r="K27" s="208"/>
      <c r="L27" s="208"/>
      <c r="M27" s="165"/>
      <c r="O27" s="165"/>
      <c r="P27"/>
      <c r="Q27"/>
      <c r="R27"/>
      <c r="S27"/>
      <c r="T27"/>
      <c r="U27" s="165"/>
      <c r="V27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9A21-191E-4BD2-A01E-FDE1E3C47B73}">
  <dimension ref="A1:V18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8.5" bestFit="1" customWidth="1"/>
    <col min="2" max="2" width="43.375" customWidth="1"/>
    <col min="3" max="3" width="38.625" style="165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29" style="165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</row>
    <row r="2" spans="1:22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88"/>
      <c r="J2" s="388"/>
      <c r="K2" s="488" t="s">
        <v>7</v>
      </c>
      <c r="L2" s="488"/>
      <c r="M2" s="488"/>
      <c r="N2" s="335" t="s">
        <v>1</v>
      </c>
      <c r="O2" s="335"/>
      <c r="P2" s="335"/>
      <c r="Q2" s="335"/>
      <c r="R2" s="335"/>
      <c r="S2" s="335"/>
      <c r="T2" s="335" t="s">
        <v>8</v>
      </c>
      <c r="U2" s="489" t="s">
        <v>9</v>
      </c>
    </row>
    <row r="3" spans="1:22" s="167" customFormat="1" x14ac:dyDescent="0.2">
      <c r="A3" s="473" t="s">
        <v>10</v>
      </c>
      <c r="B3" s="473" t="s">
        <v>11</v>
      </c>
      <c r="C3" s="491" t="s">
        <v>12</v>
      </c>
      <c r="D3" s="473" t="s">
        <v>13</v>
      </c>
      <c r="E3" s="493" t="s">
        <v>14</v>
      </c>
      <c r="F3" s="491" t="s">
        <v>15</v>
      </c>
      <c r="G3" s="473" t="s">
        <v>16</v>
      </c>
      <c r="H3" s="477" t="s">
        <v>859</v>
      </c>
      <c r="I3" s="480" t="s">
        <v>19</v>
      </c>
      <c r="J3" s="480" t="s">
        <v>20</v>
      </c>
      <c r="K3" s="482" t="s">
        <v>21</v>
      </c>
      <c r="L3" s="484" t="s">
        <v>22</v>
      </c>
      <c r="M3" s="486" t="s">
        <v>23</v>
      </c>
      <c r="N3" s="486" t="s">
        <v>24</v>
      </c>
      <c r="O3" s="486"/>
      <c r="P3" s="472" t="s">
        <v>25</v>
      </c>
      <c r="Q3" s="472"/>
      <c r="R3" s="473" t="s">
        <v>26</v>
      </c>
      <c r="S3" s="472" t="s">
        <v>23</v>
      </c>
      <c r="T3" s="335"/>
      <c r="U3" s="489"/>
    </row>
    <row r="4" spans="1:22" s="167" customFormat="1" x14ac:dyDescent="0.2">
      <c r="A4" s="474"/>
      <c r="B4" s="474"/>
      <c r="C4" s="492"/>
      <c r="D4" s="474"/>
      <c r="E4" s="494"/>
      <c r="F4" s="492"/>
      <c r="G4" s="474"/>
      <c r="H4" s="478"/>
      <c r="I4" s="481"/>
      <c r="J4" s="481"/>
      <c r="K4" s="483"/>
      <c r="L4" s="485"/>
      <c r="M4" s="487"/>
      <c r="N4" s="209" t="s">
        <v>2</v>
      </c>
      <c r="O4" s="210" t="s">
        <v>30</v>
      </c>
      <c r="P4" s="211" t="s">
        <v>2</v>
      </c>
      <c r="Q4" s="212" t="s">
        <v>30</v>
      </c>
      <c r="R4" s="474"/>
      <c r="S4" s="479"/>
      <c r="T4" s="388"/>
      <c r="U4" s="490"/>
    </row>
    <row r="5" spans="1:22" ht="30" x14ac:dyDescent="0.25">
      <c r="A5" s="126" t="s">
        <v>250</v>
      </c>
      <c r="B5" s="311" t="s">
        <v>934</v>
      </c>
      <c r="C5" s="194" t="s">
        <v>636</v>
      </c>
      <c r="D5" s="217">
        <v>185</v>
      </c>
      <c r="E5" s="175" t="s">
        <v>1031</v>
      </c>
      <c r="F5" s="175" t="s">
        <v>1034</v>
      </c>
      <c r="G5" s="215" t="s">
        <v>31</v>
      </c>
      <c r="H5" s="169" t="s">
        <v>933</v>
      </c>
      <c r="I5" s="195">
        <v>45705</v>
      </c>
      <c r="J5" s="264">
        <v>45726</v>
      </c>
      <c r="K5" s="265">
        <f>M5/2</f>
        <v>835.14</v>
      </c>
      <c r="L5" s="265">
        <f>M5/2</f>
        <v>835.14</v>
      </c>
      <c r="M5" s="265">
        <f>1566.32+103.96</f>
        <v>1670.28</v>
      </c>
      <c r="N5" s="194">
        <f>(J5-I5)+1</f>
        <v>22</v>
      </c>
      <c r="O5" s="305">
        <v>200</v>
      </c>
      <c r="P5" s="293">
        <v>0</v>
      </c>
      <c r="Q5" s="130">
        <v>0</v>
      </c>
      <c r="R5" s="307">
        <f t="shared" ref="R5:R7" si="0">N5*O5+P5*Q5</f>
        <v>4400</v>
      </c>
      <c r="S5" s="306">
        <f>M5+R5</f>
        <v>6070.28</v>
      </c>
      <c r="T5" s="306">
        <f t="shared" ref="T5:T7" si="1">S5</f>
        <v>6070.28</v>
      </c>
      <c r="U5" s="168"/>
      <c r="V5" s="44"/>
    </row>
    <row r="6" spans="1:22" ht="60" x14ac:dyDescent="0.25">
      <c r="A6" s="126" t="s">
        <v>250</v>
      </c>
      <c r="B6" s="309" t="s">
        <v>1029</v>
      </c>
      <c r="C6" s="169" t="s">
        <v>397</v>
      </c>
      <c r="D6" s="169">
        <v>345</v>
      </c>
      <c r="E6" s="175" t="s">
        <v>1028</v>
      </c>
      <c r="F6" s="175" t="s">
        <v>1032</v>
      </c>
      <c r="G6" s="215" t="s">
        <v>31</v>
      </c>
      <c r="H6" s="169" t="s">
        <v>1035</v>
      </c>
      <c r="I6" s="195">
        <v>45698</v>
      </c>
      <c r="J6" s="264">
        <v>45700</v>
      </c>
      <c r="K6" s="280">
        <f>2466.42+58.89</f>
        <v>2525.31</v>
      </c>
      <c r="L6" s="265">
        <v>2601.27</v>
      </c>
      <c r="M6" s="280">
        <f>K6+L6</f>
        <v>5126.58</v>
      </c>
      <c r="N6" s="194">
        <f t="shared" ref="N6" si="2">(J6-I6)+1</f>
        <v>3</v>
      </c>
      <c r="O6" s="305">
        <v>200</v>
      </c>
      <c r="P6" s="293">
        <v>0</v>
      </c>
      <c r="Q6" s="130">
        <v>0</v>
      </c>
      <c r="R6" s="307">
        <f t="shared" si="0"/>
        <v>600</v>
      </c>
      <c r="S6" s="306">
        <f t="shared" ref="S6:S7" si="3">M6+R6</f>
        <v>5726.58</v>
      </c>
      <c r="T6" s="306">
        <f t="shared" si="1"/>
        <v>5726.58</v>
      </c>
      <c r="U6" s="168"/>
      <c r="V6" s="44"/>
    </row>
    <row r="7" spans="1:22" s="263" customFormat="1" ht="30" x14ac:dyDescent="0.2">
      <c r="A7" s="309" t="s">
        <v>1033</v>
      </c>
      <c r="B7" s="309" t="s">
        <v>1033</v>
      </c>
      <c r="C7" s="276" t="s">
        <v>1026</v>
      </c>
      <c r="D7" s="267" t="s">
        <v>74</v>
      </c>
      <c r="E7" s="310" t="s">
        <v>1030</v>
      </c>
      <c r="F7" s="191" t="s">
        <v>1036</v>
      </c>
      <c r="G7" s="215" t="s">
        <v>31</v>
      </c>
      <c r="H7" s="169" t="s">
        <v>1027</v>
      </c>
      <c r="I7" s="288">
        <v>45709</v>
      </c>
      <c r="J7" s="295"/>
      <c r="K7" s="280">
        <f>767.82+53.57</f>
        <v>821.3900000000001</v>
      </c>
      <c r="M7" s="280">
        <f>K7</f>
        <v>821.3900000000001</v>
      </c>
      <c r="N7" s="241">
        <v>0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821.3900000000001</v>
      </c>
      <c r="T7" s="306">
        <f t="shared" si="1"/>
        <v>821.3900000000001</v>
      </c>
    </row>
    <row r="8" spans="1:22" s="263" customFormat="1" ht="15" customHeight="1" x14ac:dyDescent="0.2">
      <c r="A8" s="126"/>
      <c r="B8" s="215"/>
      <c r="C8" s="169"/>
      <c r="D8" s="169"/>
      <c r="E8" s="175"/>
      <c r="F8" s="169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x14ac:dyDescent="0.2">
      <c r="A9" s="126"/>
      <c r="B9" s="215"/>
      <c r="C9" s="169"/>
      <c r="D9" s="169"/>
      <c r="E9" s="175"/>
      <c r="F9" s="175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2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ht="15" customHeight="1" x14ac:dyDescent="0.2">
      <c r="A11" s="126"/>
      <c r="B11" s="126"/>
      <c r="C11" s="169"/>
      <c r="D11" s="94"/>
      <c r="E11" s="175"/>
      <c r="F11" s="169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2">
      <c r="A12" s="154"/>
      <c r="B12" s="215"/>
      <c r="C12" s="164"/>
      <c r="D12" s="217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2">
      <c r="C13" s="169"/>
      <c r="D13" s="169"/>
      <c r="E13" s="175"/>
      <c r="G13" s="76"/>
      <c r="H13" s="169"/>
      <c r="M13" s="201"/>
      <c r="N13" s="269"/>
      <c r="R13" s="292"/>
    </row>
    <row r="14" spans="1:22" s="263" customFormat="1" ht="15" customHeight="1" x14ac:dyDescent="0.2">
      <c r="C14" s="169"/>
      <c r="E14" s="175"/>
      <c r="M14" s="201"/>
      <c r="N14" s="269"/>
    </row>
    <row r="15" spans="1:22" s="263" customFormat="1" ht="15" customHeight="1" x14ac:dyDescent="0.2">
      <c r="E15" s="175"/>
      <c r="M15" s="278">
        <f>SUM(M5:M6)</f>
        <v>6796.86</v>
      </c>
      <c r="N15" s="269"/>
      <c r="S15" s="282">
        <f>SUM(S5:S14)</f>
        <v>12618.25</v>
      </c>
    </row>
    <row r="18" spans="1:22" s="165" customFormat="1" x14ac:dyDescent="0.25">
      <c r="A18"/>
      <c r="B18"/>
      <c r="D18"/>
      <c r="E18" s="221"/>
      <c r="F18" s="166"/>
      <c r="G18"/>
      <c r="H18" s="208"/>
      <c r="K18" s="208"/>
      <c r="L18" s="208"/>
      <c r="N18" s="166"/>
      <c r="P18"/>
      <c r="Q18"/>
      <c r="R18"/>
      <c r="S18"/>
      <c r="T18"/>
      <c r="V1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9200-B84B-403A-8218-72AB57D6412E}">
  <dimension ref="A1:V17"/>
  <sheetViews>
    <sheetView showGridLines="0" zoomScaleNormal="100" workbookViewId="0">
      <selection activeCell="A5" sqref="A5:C5"/>
    </sheetView>
  </sheetViews>
  <sheetFormatPr defaultRowHeight="15" x14ac:dyDescent="0.25"/>
  <cols>
    <col min="1" max="1" width="38.5" bestFit="1" customWidth="1"/>
    <col min="2" max="2" width="43.375" customWidth="1"/>
    <col min="3" max="3" width="41.625" style="165" bestFit="1" customWidth="1"/>
    <col min="4" max="4" width="12.5" customWidth="1"/>
    <col min="5" max="5" width="15" style="221" customWidth="1"/>
    <col min="6" max="6" width="32" style="166" customWidth="1"/>
    <col min="7" max="7" width="13.875" bestFit="1" customWidth="1"/>
    <col min="8" max="8" width="29" style="165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2.375" customWidth="1"/>
    <col min="20" max="20" width="12.125" bestFit="1" customWidth="1"/>
    <col min="21" max="21" width="64" style="165" bestFit="1" customWidth="1"/>
  </cols>
  <sheetData>
    <row r="1" spans="1:22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</row>
    <row r="2" spans="1:22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88"/>
      <c r="J2" s="388"/>
      <c r="K2" s="488" t="s">
        <v>7</v>
      </c>
      <c r="L2" s="488"/>
      <c r="M2" s="488"/>
      <c r="N2" s="335" t="s">
        <v>1</v>
      </c>
      <c r="O2" s="335"/>
      <c r="P2" s="335"/>
      <c r="Q2" s="335"/>
      <c r="R2" s="335"/>
      <c r="S2" s="335"/>
      <c r="T2" s="335" t="s">
        <v>8</v>
      </c>
      <c r="U2" s="489" t="s">
        <v>9</v>
      </c>
    </row>
    <row r="3" spans="1:22" s="167" customFormat="1" x14ac:dyDescent="0.2">
      <c r="A3" s="473" t="s">
        <v>10</v>
      </c>
      <c r="B3" s="473" t="s">
        <v>11</v>
      </c>
      <c r="C3" s="491" t="s">
        <v>12</v>
      </c>
      <c r="D3" s="473" t="s">
        <v>13</v>
      </c>
      <c r="E3" s="493" t="s">
        <v>14</v>
      </c>
      <c r="F3" s="491" t="s">
        <v>15</v>
      </c>
      <c r="G3" s="473" t="s">
        <v>16</v>
      </c>
      <c r="H3" s="477" t="s">
        <v>859</v>
      </c>
      <c r="I3" s="480" t="s">
        <v>19</v>
      </c>
      <c r="J3" s="480" t="s">
        <v>20</v>
      </c>
      <c r="K3" s="482" t="s">
        <v>21</v>
      </c>
      <c r="L3" s="484" t="s">
        <v>22</v>
      </c>
      <c r="M3" s="486" t="s">
        <v>23</v>
      </c>
      <c r="N3" s="486" t="s">
        <v>24</v>
      </c>
      <c r="O3" s="486"/>
      <c r="P3" s="472" t="s">
        <v>25</v>
      </c>
      <c r="Q3" s="472"/>
      <c r="R3" s="473" t="s">
        <v>26</v>
      </c>
      <c r="S3" s="472" t="s">
        <v>23</v>
      </c>
      <c r="T3" s="335"/>
      <c r="U3" s="489"/>
    </row>
    <row r="4" spans="1:22" s="167" customFormat="1" x14ac:dyDescent="0.2">
      <c r="A4" s="474"/>
      <c r="B4" s="474"/>
      <c r="C4" s="492"/>
      <c r="D4" s="474"/>
      <c r="E4" s="494"/>
      <c r="F4" s="492"/>
      <c r="G4" s="474"/>
      <c r="H4" s="478"/>
      <c r="I4" s="481"/>
      <c r="J4" s="481"/>
      <c r="K4" s="483"/>
      <c r="L4" s="485"/>
      <c r="M4" s="487"/>
      <c r="N4" s="209" t="s">
        <v>2</v>
      </c>
      <c r="O4" s="210" t="s">
        <v>30</v>
      </c>
      <c r="P4" s="211" t="s">
        <v>2</v>
      </c>
      <c r="Q4" s="212" t="s">
        <v>30</v>
      </c>
      <c r="R4" s="474"/>
      <c r="S4" s="479"/>
      <c r="T4" s="388"/>
      <c r="U4" s="490"/>
    </row>
    <row r="5" spans="1:22" ht="30" x14ac:dyDescent="0.25">
      <c r="A5" s="262" t="s">
        <v>229</v>
      </c>
      <c r="B5" s="262" t="s">
        <v>229</v>
      </c>
      <c r="C5" s="314" t="s">
        <v>1037</v>
      </c>
      <c r="D5" s="194" t="s">
        <v>74</v>
      </c>
      <c r="E5" s="175" t="s">
        <v>1040</v>
      </c>
      <c r="F5" s="175" t="s">
        <v>228</v>
      </c>
      <c r="G5" s="215" t="s">
        <v>31</v>
      </c>
      <c r="H5" s="169" t="s">
        <v>861</v>
      </c>
      <c r="I5" s="195">
        <v>45728</v>
      </c>
      <c r="J5" s="264">
        <v>45729</v>
      </c>
      <c r="K5" s="265">
        <v>1641.0400000000002</v>
      </c>
      <c r="L5" s="265">
        <v>1655.86</v>
      </c>
      <c r="M5" s="265">
        <f>K5+L5</f>
        <v>3296.9</v>
      </c>
      <c r="N5" s="194">
        <v>0</v>
      </c>
      <c r="O5" s="305">
        <v>200</v>
      </c>
      <c r="P5" s="293">
        <v>0</v>
      </c>
      <c r="Q5" s="130">
        <v>0</v>
      </c>
      <c r="R5" s="307">
        <f t="shared" ref="R5:R14" si="0">N5*O5+P5*Q5</f>
        <v>0</v>
      </c>
      <c r="S5" s="306">
        <f>M5+R5</f>
        <v>3296.9</v>
      </c>
      <c r="T5" s="306">
        <f t="shared" ref="T5:T14" si="1">S5</f>
        <v>3296.9</v>
      </c>
      <c r="U5" s="168"/>
      <c r="V5" s="44"/>
    </row>
    <row r="6" spans="1:22" x14ac:dyDescent="0.25">
      <c r="A6" s="262" t="s">
        <v>229</v>
      </c>
      <c r="B6" s="313" t="s">
        <v>568</v>
      </c>
      <c r="C6" s="315" t="s">
        <v>48</v>
      </c>
      <c r="D6" s="194">
        <v>56</v>
      </c>
      <c r="E6" s="175" t="s">
        <v>1041</v>
      </c>
      <c r="F6" s="175" t="s">
        <v>228</v>
      </c>
      <c r="G6" s="215" t="s">
        <v>31</v>
      </c>
      <c r="H6" s="169" t="s">
        <v>860</v>
      </c>
      <c r="I6" s="195">
        <v>45728</v>
      </c>
      <c r="J6" s="264">
        <v>45729</v>
      </c>
      <c r="K6" s="280">
        <f>M6/2</f>
        <v>1367.0100000000002</v>
      </c>
      <c r="L6" s="265">
        <f>M6/2</f>
        <v>1367.0100000000002</v>
      </c>
      <c r="M6" s="280">
        <v>2734.0200000000004</v>
      </c>
      <c r="N6" s="194">
        <f t="shared" ref="N6:N13" si="2">(J6-I6)+1</f>
        <v>2</v>
      </c>
      <c r="O6" s="305">
        <v>200</v>
      </c>
      <c r="P6" s="293">
        <v>0</v>
      </c>
      <c r="Q6" s="130">
        <v>0</v>
      </c>
      <c r="R6" s="307">
        <f t="shared" si="0"/>
        <v>400</v>
      </c>
      <c r="S6" s="306">
        <f t="shared" ref="S6:S13" si="3">M6+R6</f>
        <v>3134.0200000000004</v>
      </c>
      <c r="T6" s="306">
        <f t="shared" si="1"/>
        <v>3134.0200000000004</v>
      </c>
      <c r="U6" s="168"/>
      <c r="V6" s="44"/>
    </row>
    <row r="7" spans="1:22" s="263" customFormat="1" x14ac:dyDescent="0.2">
      <c r="A7" s="126" t="s">
        <v>250</v>
      </c>
      <c r="B7" s="126" t="s">
        <v>250</v>
      </c>
      <c r="C7" s="276" t="s">
        <v>670</v>
      </c>
      <c r="D7" s="194">
        <v>383</v>
      </c>
      <c r="E7" s="312" t="s">
        <v>900</v>
      </c>
      <c r="F7" s="191" t="s">
        <v>1046</v>
      </c>
      <c r="G7" s="215" t="s">
        <v>31</v>
      </c>
      <c r="H7" s="169" t="s">
        <v>933</v>
      </c>
      <c r="I7" s="195">
        <v>45726</v>
      </c>
      <c r="J7" s="295">
        <v>45730</v>
      </c>
      <c r="K7" s="280">
        <f>M7/2</f>
        <v>1170.17</v>
      </c>
      <c r="L7" s="265">
        <f t="shared" ref="L7:L10" si="4">M7/2</f>
        <v>1170.17</v>
      </c>
      <c r="M7" s="280">
        <v>2340.34</v>
      </c>
      <c r="N7" s="194">
        <f t="shared" si="2"/>
        <v>5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2340.34</v>
      </c>
      <c r="T7" s="306">
        <f t="shared" si="1"/>
        <v>2340.34</v>
      </c>
    </row>
    <row r="8" spans="1:22" s="263" customFormat="1" ht="15" customHeight="1" x14ac:dyDescent="0.2">
      <c r="A8" s="126" t="s">
        <v>250</v>
      </c>
      <c r="B8" s="215" t="s">
        <v>901</v>
      </c>
      <c r="C8" s="315" t="s">
        <v>802</v>
      </c>
      <c r="D8" s="194">
        <v>404</v>
      </c>
      <c r="E8" s="175" t="s">
        <v>1045</v>
      </c>
      <c r="F8" s="191" t="s">
        <v>1046</v>
      </c>
      <c r="G8" s="215" t="s">
        <v>31</v>
      </c>
      <c r="H8" s="169" t="s">
        <v>933</v>
      </c>
      <c r="I8" s="195">
        <v>45726</v>
      </c>
      <c r="J8" s="295">
        <v>45730</v>
      </c>
      <c r="K8" s="280">
        <f t="shared" ref="K8:K10" si="5">M8/2</f>
        <v>1170.17</v>
      </c>
      <c r="L8" s="265">
        <f t="shared" si="4"/>
        <v>1170.17</v>
      </c>
      <c r="M8" s="280">
        <v>2340.34</v>
      </c>
      <c r="N8" s="194">
        <f t="shared" si="2"/>
        <v>5</v>
      </c>
      <c r="O8" s="281">
        <v>200</v>
      </c>
      <c r="P8" s="293">
        <v>0</v>
      </c>
      <c r="Q8" s="170">
        <v>0</v>
      </c>
      <c r="R8" s="307">
        <f t="shared" si="0"/>
        <v>1000</v>
      </c>
      <c r="S8" s="306">
        <f t="shared" si="3"/>
        <v>3340.34</v>
      </c>
      <c r="T8" s="306">
        <f t="shared" si="1"/>
        <v>3340.34</v>
      </c>
    </row>
    <row r="9" spans="1:22" s="263" customFormat="1" ht="30" x14ac:dyDescent="0.2">
      <c r="A9" s="126" t="s">
        <v>250</v>
      </c>
      <c r="B9" s="215" t="s">
        <v>901</v>
      </c>
      <c r="C9" s="315" t="s">
        <v>1038</v>
      </c>
      <c r="D9" s="194"/>
      <c r="E9" s="175" t="s">
        <v>1044</v>
      </c>
      <c r="F9" s="191" t="s">
        <v>1046</v>
      </c>
      <c r="G9" s="215" t="s">
        <v>31</v>
      </c>
      <c r="H9" s="169" t="s">
        <v>933</v>
      </c>
      <c r="I9" s="195">
        <v>45726</v>
      </c>
      <c r="J9" s="295">
        <v>45730</v>
      </c>
      <c r="K9" s="280">
        <f t="shared" si="5"/>
        <v>1170.17</v>
      </c>
      <c r="L9" s="265">
        <f t="shared" si="4"/>
        <v>1170.17</v>
      </c>
      <c r="M9" s="280">
        <v>2340.34</v>
      </c>
      <c r="N9" s="194">
        <f t="shared" si="2"/>
        <v>5</v>
      </c>
      <c r="O9" s="281">
        <v>200</v>
      </c>
      <c r="P9" s="293">
        <v>0</v>
      </c>
      <c r="Q9" s="170">
        <v>0</v>
      </c>
      <c r="R9" s="307">
        <f t="shared" si="0"/>
        <v>1000</v>
      </c>
      <c r="S9" s="306">
        <f t="shared" si="3"/>
        <v>3340.34</v>
      </c>
      <c r="T9" s="306">
        <f t="shared" si="1"/>
        <v>3340.34</v>
      </c>
    </row>
    <row r="10" spans="1:22" s="263" customFormat="1" ht="27.75" customHeight="1" x14ac:dyDescent="0.2">
      <c r="A10" s="126" t="s">
        <v>250</v>
      </c>
      <c r="B10" s="313" t="s">
        <v>1042</v>
      </c>
      <c r="C10" s="315" t="s">
        <v>613</v>
      </c>
      <c r="D10" s="194">
        <v>314</v>
      </c>
      <c r="E10" s="175" t="s">
        <v>1043</v>
      </c>
      <c r="F10" s="169" t="s">
        <v>1047</v>
      </c>
      <c r="G10" s="215" t="s">
        <v>31</v>
      </c>
      <c r="H10" s="169" t="s">
        <v>933</v>
      </c>
      <c r="I10" s="195">
        <v>45734</v>
      </c>
      <c r="J10" s="295">
        <v>45744</v>
      </c>
      <c r="K10" s="280">
        <f t="shared" si="5"/>
        <v>2986.87</v>
      </c>
      <c r="L10" s="265">
        <f t="shared" si="4"/>
        <v>2986.87</v>
      </c>
      <c r="M10" s="280">
        <v>5973.74</v>
      </c>
      <c r="N10" s="194">
        <f t="shared" si="2"/>
        <v>11</v>
      </c>
      <c r="O10" s="281">
        <v>200</v>
      </c>
      <c r="P10" s="293">
        <v>0</v>
      </c>
      <c r="Q10" s="170">
        <v>0</v>
      </c>
      <c r="R10" s="307">
        <f t="shared" si="0"/>
        <v>2200</v>
      </c>
      <c r="S10" s="306">
        <f t="shared" si="3"/>
        <v>8173.74</v>
      </c>
      <c r="T10" s="306">
        <f t="shared" si="1"/>
        <v>8173.74</v>
      </c>
    </row>
    <row r="11" spans="1:22" s="263" customFormat="1" ht="15" customHeight="1" x14ac:dyDescent="0.2">
      <c r="A11" s="309" t="s">
        <v>1033</v>
      </c>
      <c r="B11" s="309" t="s">
        <v>1033</v>
      </c>
      <c r="C11" s="316" t="s">
        <v>1026</v>
      </c>
      <c r="D11" s="194" t="s">
        <v>74</v>
      </c>
      <c r="E11" s="175" t="s">
        <v>909</v>
      </c>
      <c r="F11" s="169"/>
      <c r="G11" s="215" t="s">
        <v>31</v>
      </c>
      <c r="H11" s="169" t="s">
        <v>1039</v>
      </c>
      <c r="I11" s="195">
        <v>45744</v>
      </c>
      <c r="J11" s="295"/>
      <c r="K11" s="280">
        <v>836.68</v>
      </c>
      <c r="L11" s="280"/>
      <c r="M11" s="280">
        <v>836.68</v>
      </c>
      <c r="N11" s="194">
        <v>0</v>
      </c>
      <c r="O11" s="281">
        <v>200</v>
      </c>
      <c r="P11" s="293">
        <v>0</v>
      </c>
      <c r="Q11" s="170">
        <v>0</v>
      </c>
      <c r="R11" s="307">
        <f t="shared" si="0"/>
        <v>0</v>
      </c>
      <c r="S11" s="306">
        <f t="shared" si="3"/>
        <v>836.68</v>
      </c>
      <c r="T11" s="306">
        <f t="shared" si="1"/>
        <v>836.68</v>
      </c>
    </row>
    <row r="12" spans="1:22" s="263" customFormat="1" ht="15" customHeight="1" x14ac:dyDescent="0.2">
      <c r="A12" s="262" t="s">
        <v>229</v>
      </c>
      <c r="B12" s="262" t="s">
        <v>229</v>
      </c>
      <c r="C12" s="315" t="s">
        <v>1037</v>
      </c>
      <c r="D12" s="194"/>
      <c r="E12" s="175" t="s">
        <v>1040</v>
      </c>
      <c r="F12" s="169" t="s">
        <v>415</v>
      </c>
      <c r="G12" s="215" t="s">
        <v>31</v>
      </c>
      <c r="H12" s="169" t="s">
        <v>867</v>
      </c>
      <c r="I12" s="195">
        <v>45742</v>
      </c>
      <c r="J12" s="288">
        <v>45744</v>
      </c>
      <c r="K12" s="201">
        <f>M12/2</f>
        <v>1235.865</v>
      </c>
      <c r="L12" s="201">
        <f>M12/2</f>
        <v>1235.865</v>
      </c>
      <c r="M12" s="201">
        <v>2471.73</v>
      </c>
      <c r="N12" s="194">
        <f t="shared" si="2"/>
        <v>3</v>
      </c>
      <c r="O12" s="281">
        <v>200</v>
      </c>
      <c r="P12" s="293">
        <v>0</v>
      </c>
      <c r="Q12" s="170">
        <v>0</v>
      </c>
      <c r="R12" s="307">
        <f t="shared" si="0"/>
        <v>600</v>
      </c>
      <c r="S12" s="306">
        <f t="shared" si="3"/>
        <v>3071.73</v>
      </c>
      <c r="T12" s="306">
        <f t="shared" si="1"/>
        <v>3071.73</v>
      </c>
    </row>
    <row r="13" spans="1:22" s="263" customFormat="1" ht="15" customHeight="1" x14ac:dyDescent="0.2">
      <c r="A13" s="262" t="s">
        <v>229</v>
      </c>
      <c r="B13" s="313" t="s">
        <v>568</v>
      </c>
      <c r="C13" s="315" t="s">
        <v>48</v>
      </c>
      <c r="D13" s="194">
        <v>56</v>
      </c>
      <c r="E13" s="175" t="s">
        <v>1041</v>
      </c>
      <c r="F13" s="169" t="s">
        <v>415</v>
      </c>
      <c r="G13" s="215" t="s">
        <v>31</v>
      </c>
      <c r="H13" s="169" t="s">
        <v>867</v>
      </c>
      <c r="I13" s="195">
        <v>45742</v>
      </c>
      <c r="J13" s="288">
        <v>45744</v>
      </c>
      <c r="K13" s="201">
        <f t="shared" ref="K13:K14" si="6">M13/2</f>
        <v>1298.8499999999999</v>
      </c>
      <c r="L13" s="201">
        <f t="shared" ref="L13:L14" si="7">M13/2</f>
        <v>1298.8499999999999</v>
      </c>
      <c r="M13" s="201">
        <v>2597.6999999999998</v>
      </c>
      <c r="N13" s="194">
        <f t="shared" si="2"/>
        <v>3</v>
      </c>
      <c r="O13" s="281">
        <v>200</v>
      </c>
      <c r="P13" s="293">
        <v>0</v>
      </c>
      <c r="Q13" s="170">
        <v>0</v>
      </c>
      <c r="R13" s="307">
        <f t="shared" si="0"/>
        <v>600</v>
      </c>
      <c r="S13" s="306">
        <f t="shared" si="3"/>
        <v>3197.7</v>
      </c>
      <c r="T13" s="306">
        <f t="shared" si="1"/>
        <v>3197.7</v>
      </c>
    </row>
    <row r="14" spans="1:22" s="263" customFormat="1" ht="15" customHeight="1" x14ac:dyDescent="0.2">
      <c r="A14" s="126" t="s">
        <v>250</v>
      </c>
      <c r="B14" s="126" t="s">
        <v>250</v>
      </c>
      <c r="C14" s="315" t="s">
        <v>378</v>
      </c>
      <c r="D14" s="194" t="s">
        <v>74</v>
      </c>
      <c r="E14" s="175" t="s">
        <v>896</v>
      </c>
      <c r="F14" s="169" t="s">
        <v>415</v>
      </c>
      <c r="G14" s="215" t="s">
        <v>31</v>
      </c>
      <c r="H14" s="169" t="s">
        <v>867</v>
      </c>
      <c r="I14" s="195">
        <v>45742</v>
      </c>
      <c r="J14" s="288">
        <v>45744</v>
      </c>
      <c r="K14" s="201">
        <f t="shared" si="6"/>
        <v>1298.8499999999999</v>
      </c>
      <c r="L14" s="201">
        <f t="shared" si="7"/>
        <v>1298.8499999999999</v>
      </c>
      <c r="M14" s="201">
        <v>2597.6999999999998</v>
      </c>
      <c r="N14" s="269">
        <v>0</v>
      </c>
      <c r="O14" s="281">
        <v>200</v>
      </c>
      <c r="P14" s="293">
        <v>0</v>
      </c>
      <c r="Q14" s="170">
        <v>0</v>
      </c>
      <c r="R14" s="307">
        <f t="shared" si="0"/>
        <v>0</v>
      </c>
      <c r="S14" s="282">
        <f>SUM(S5:S13)</f>
        <v>30731.79</v>
      </c>
      <c r="T14" s="306">
        <f t="shared" si="1"/>
        <v>30731.79</v>
      </c>
    </row>
    <row r="15" spans="1:22" x14ac:dyDescent="0.25">
      <c r="M15" s="208">
        <f>SUM(M5:M14)</f>
        <v>27529.49</v>
      </c>
    </row>
    <row r="17" spans="1:22" s="165" customFormat="1" x14ac:dyDescent="0.25">
      <c r="A17"/>
      <c r="B17"/>
      <c r="D17"/>
      <c r="E17" s="221"/>
      <c r="F17" s="166"/>
      <c r="G17"/>
      <c r="H17" s="208"/>
      <c r="K17" s="208"/>
      <c r="L17" s="208"/>
      <c r="N17" s="166"/>
      <c r="P17"/>
      <c r="Q17"/>
      <c r="R17"/>
      <c r="S17"/>
      <c r="T17"/>
      <c r="V17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4" t="s">
        <v>0</v>
      </c>
      <c r="W5" s="334"/>
      <c r="X5" s="8">
        <v>43191</v>
      </c>
    </row>
    <row r="6" spans="1:24" x14ac:dyDescent="0.25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</row>
    <row r="7" spans="1:24" x14ac:dyDescent="0.25">
      <c r="A7" s="335" t="s">
        <v>5</v>
      </c>
      <c r="B7" s="335"/>
      <c r="C7" s="335" t="s">
        <v>6</v>
      </c>
      <c r="D7" s="335"/>
      <c r="E7" s="335"/>
      <c r="F7" s="335" t="s">
        <v>3</v>
      </c>
      <c r="G7" s="335"/>
      <c r="H7" s="335"/>
      <c r="I7" s="335"/>
      <c r="J7" s="335"/>
      <c r="K7" s="335"/>
      <c r="L7" s="335"/>
      <c r="M7" s="335"/>
      <c r="N7" s="335" t="s">
        <v>7</v>
      </c>
      <c r="O7" s="335"/>
      <c r="P7" s="335"/>
      <c r="Q7" s="335" t="s">
        <v>1</v>
      </c>
      <c r="R7" s="335"/>
      <c r="S7" s="335"/>
      <c r="T7" s="335"/>
      <c r="U7" s="335"/>
      <c r="V7" s="335"/>
      <c r="W7" s="335" t="s">
        <v>8</v>
      </c>
      <c r="X7" s="335" t="s">
        <v>9</v>
      </c>
    </row>
    <row r="8" spans="1:24" s="9" customFormat="1" x14ac:dyDescent="0.25">
      <c r="A8" s="333" t="s">
        <v>10</v>
      </c>
      <c r="B8" s="333" t="s">
        <v>11</v>
      </c>
      <c r="C8" s="333" t="s">
        <v>12</v>
      </c>
      <c r="D8" s="333" t="s">
        <v>13</v>
      </c>
      <c r="E8" s="333" t="s">
        <v>14</v>
      </c>
      <c r="F8" s="333" t="s">
        <v>15</v>
      </c>
      <c r="G8" s="333" t="s">
        <v>16</v>
      </c>
      <c r="H8" s="333" t="s">
        <v>17</v>
      </c>
      <c r="I8" s="333"/>
      <c r="J8" s="332" t="s">
        <v>18</v>
      </c>
      <c r="K8" s="332"/>
      <c r="L8" s="333" t="s">
        <v>19</v>
      </c>
      <c r="M8" s="333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3" t="s">
        <v>26</v>
      </c>
      <c r="V8" s="332" t="s">
        <v>23</v>
      </c>
      <c r="W8" s="335"/>
      <c r="X8" s="335"/>
    </row>
    <row r="9" spans="1:24" s="9" customFormat="1" ht="17.25" customHeight="1" x14ac:dyDescent="0.25">
      <c r="A9" s="333"/>
      <c r="B9" s="333"/>
      <c r="C9" s="333"/>
      <c r="D9" s="333"/>
      <c r="E9" s="333"/>
      <c r="F9" s="333"/>
      <c r="G9" s="333"/>
      <c r="H9" s="10" t="s">
        <v>27</v>
      </c>
      <c r="I9" s="10" t="s">
        <v>28</v>
      </c>
      <c r="J9" s="10" t="s">
        <v>27</v>
      </c>
      <c r="K9" s="11" t="s">
        <v>29</v>
      </c>
      <c r="L9" s="333"/>
      <c r="M9" s="333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3"/>
      <c r="V9" s="332"/>
      <c r="W9" s="335"/>
      <c r="X9" s="335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D09E-4520-48FC-96EC-58E9AF597923}">
  <dimension ref="A1:V26"/>
  <sheetViews>
    <sheetView showGridLines="0" tabSelected="1" zoomScaleNormal="100" workbookViewId="0">
      <selection activeCell="AC35" sqref="AC35"/>
    </sheetView>
  </sheetViews>
  <sheetFormatPr defaultRowHeight="15" x14ac:dyDescent="0.25"/>
  <cols>
    <col min="1" max="1" width="38.5" bestFit="1" customWidth="1"/>
    <col min="2" max="2" width="43.375" customWidth="1"/>
    <col min="3" max="3" width="32.375" style="165" customWidth="1"/>
    <col min="4" max="4" width="12.5" customWidth="1"/>
    <col min="5" max="5" width="23.375" style="221" bestFit="1" customWidth="1"/>
    <col min="6" max="6" width="55.875" style="166" bestFit="1" customWidth="1"/>
    <col min="7" max="7" width="13.875" bestFit="1" customWidth="1"/>
    <col min="8" max="8" width="31.125" style="165" bestFit="1" customWidth="1"/>
    <col min="9" max="9" width="11.5" style="165" bestFit="1" customWidth="1"/>
    <col min="10" max="10" width="10.375" style="165" bestFit="1" customWidth="1"/>
    <col min="11" max="12" width="12" style="208" bestFit="1" customWidth="1"/>
    <col min="13" max="13" width="13.125" style="165" bestFit="1" customWidth="1"/>
    <col min="14" max="14" width="11.125" style="166" bestFit="1" customWidth="1"/>
    <col min="15" max="15" width="12.625" style="165" bestFit="1" customWidth="1"/>
    <col min="16" max="16" width="11.125" bestFit="1" customWidth="1"/>
    <col min="17" max="17" width="12.625" bestFit="1" customWidth="1"/>
    <col min="18" max="18" width="14.625" bestFit="1" customWidth="1"/>
    <col min="19" max="19" width="13.875" bestFit="1" customWidth="1"/>
    <col min="20" max="20" width="12.75" bestFit="1" customWidth="1"/>
    <col min="21" max="21" width="64" style="165" bestFit="1" customWidth="1"/>
  </cols>
  <sheetData>
    <row r="1" spans="1:22" x14ac:dyDescent="0.25">
      <c r="A1" s="335" t="s">
        <v>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</row>
    <row r="2" spans="1:22" x14ac:dyDescent="0.25">
      <c r="A2" s="335" t="s">
        <v>5</v>
      </c>
      <c r="B2" s="335"/>
      <c r="C2" s="335" t="s">
        <v>6</v>
      </c>
      <c r="D2" s="335"/>
      <c r="E2" s="335"/>
      <c r="F2" s="335" t="s">
        <v>3</v>
      </c>
      <c r="G2" s="335"/>
      <c r="H2" s="335"/>
      <c r="I2" s="388"/>
      <c r="J2" s="388"/>
      <c r="K2" s="488" t="s">
        <v>7</v>
      </c>
      <c r="L2" s="488"/>
      <c r="M2" s="488"/>
      <c r="N2" s="335" t="s">
        <v>1</v>
      </c>
      <c r="O2" s="335"/>
      <c r="P2" s="335"/>
      <c r="Q2" s="335"/>
      <c r="R2" s="335"/>
      <c r="S2" s="335"/>
      <c r="T2" s="335" t="s">
        <v>8</v>
      </c>
      <c r="U2" s="489" t="s">
        <v>9</v>
      </c>
    </row>
    <row r="3" spans="1:22" s="167" customFormat="1" x14ac:dyDescent="0.2">
      <c r="A3" s="473" t="s">
        <v>10</v>
      </c>
      <c r="B3" s="473" t="s">
        <v>11</v>
      </c>
      <c r="C3" s="491" t="s">
        <v>12</v>
      </c>
      <c r="D3" s="473" t="s">
        <v>13</v>
      </c>
      <c r="E3" s="493" t="s">
        <v>14</v>
      </c>
      <c r="F3" s="491" t="s">
        <v>15</v>
      </c>
      <c r="G3" s="473" t="s">
        <v>16</v>
      </c>
      <c r="H3" s="477" t="s">
        <v>859</v>
      </c>
      <c r="I3" s="480" t="s">
        <v>19</v>
      </c>
      <c r="J3" s="480" t="s">
        <v>20</v>
      </c>
      <c r="K3" s="482" t="s">
        <v>21</v>
      </c>
      <c r="L3" s="484" t="s">
        <v>22</v>
      </c>
      <c r="M3" s="486" t="s">
        <v>23</v>
      </c>
      <c r="N3" s="486" t="s">
        <v>24</v>
      </c>
      <c r="O3" s="486"/>
      <c r="P3" s="472" t="s">
        <v>25</v>
      </c>
      <c r="Q3" s="472"/>
      <c r="R3" s="473" t="s">
        <v>26</v>
      </c>
      <c r="S3" s="472" t="s">
        <v>23</v>
      </c>
      <c r="T3" s="335"/>
      <c r="U3" s="489"/>
    </row>
    <row r="4" spans="1:22" s="167" customFormat="1" x14ac:dyDescent="0.2">
      <c r="A4" s="474"/>
      <c r="B4" s="474"/>
      <c r="C4" s="492"/>
      <c r="D4" s="474"/>
      <c r="E4" s="494"/>
      <c r="F4" s="492"/>
      <c r="G4" s="474"/>
      <c r="H4" s="478"/>
      <c r="I4" s="481"/>
      <c r="J4" s="481"/>
      <c r="K4" s="483"/>
      <c r="L4" s="485"/>
      <c r="M4" s="487"/>
      <c r="N4" s="209" t="s">
        <v>2</v>
      </c>
      <c r="O4" s="210" t="s">
        <v>30</v>
      </c>
      <c r="P4" s="211" t="s">
        <v>2</v>
      </c>
      <c r="Q4" s="212" t="s">
        <v>30</v>
      </c>
      <c r="R4" s="474"/>
      <c r="S4" s="479"/>
      <c r="T4" s="388"/>
      <c r="U4" s="490"/>
    </row>
    <row r="5" spans="1:22" x14ac:dyDescent="0.25">
      <c r="A5" s="126" t="s">
        <v>250</v>
      </c>
      <c r="B5" s="126" t="s">
        <v>250</v>
      </c>
      <c r="C5" s="314" t="s">
        <v>378</v>
      </c>
      <c r="D5" s="194" t="s">
        <v>74</v>
      </c>
      <c r="E5" s="175" t="s">
        <v>896</v>
      </c>
      <c r="F5" s="175" t="s">
        <v>1061</v>
      </c>
      <c r="G5" s="215" t="s">
        <v>31</v>
      </c>
      <c r="H5" s="169" t="s">
        <v>933</v>
      </c>
      <c r="I5" s="195">
        <v>45748</v>
      </c>
      <c r="J5" s="264">
        <v>45749</v>
      </c>
      <c r="K5" s="280">
        <f>M5/2</f>
        <v>939.33</v>
      </c>
      <c r="L5" s="265">
        <f>M5/2</f>
        <v>939.33</v>
      </c>
      <c r="M5" s="265">
        <v>1878.66</v>
      </c>
      <c r="N5" s="194">
        <v>0</v>
      </c>
      <c r="O5" s="305">
        <v>200</v>
      </c>
      <c r="P5" s="293">
        <v>0</v>
      </c>
      <c r="Q5" s="130">
        <v>0</v>
      </c>
      <c r="R5" s="307">
        <f t="shared" ref="R5:R13" si="0">N5*O5+P5*Q5</f>
        <v>0</v>
      </c>
      <c r="S5" s="306">
        <f>M5+R5</f>
        <v>1878.66</v>
      </c>
      <c r="T5" s="306">
        <f t="shared" ref="T5:T13" si="1">S5</f>
        <v>1878.66</v>
      </c>
      <c r="U5" s="168"/>
      <c r="V5" s="44"/>
    </row>
    <row r="6" spans="1:22" x14ac:dyDescent="0.25">
      <c r="A6" s="262" t="s">
        <v>229</v>
      </c>
      <c r="B6" s="126" t="s">
        <v>250</v>
      </c>
      <c r="C6" s="315" t="s">
        <v>670</v>
      </c>
      <c r="D6" s="194">
        <v>383</v>
      </c>
      <c r="E6" s="312" t="s">
        <v>900</v>
      </c>
      <c r="F6" s="175" t="s">
        <v>1061</v>
      </c>
      <c r="G6" s="215" t="s">
        <v>31</v>
      </c>
      <c r="H6" s="169" t="s">
        <v>933</v>
      </c>
      <c r="I6" s="195">
        <v>45748</v>
      </c>
      <c r="J6" s="264">
        <v>45749</v>
      </c>
      <c r="K6" s="280">
        <f>M6/2</f>
        <v>939.33</v>
      </c>
      <c r="L6" s="265">
        <f>M6/2</f>
        <v>939.33</v>
      </c>
      <c r="M6" s="280">
        <v>1878.66</v>
      </c>
      <c r="N6" s="194">
        <f t="shared" ref="N6:N12" si="2">(J6-I6)+1</f>
        <v>2</v>
      </c>
      <c r="O6" s="305">
        <v>200</v>
      </c>
      <c r="P6" s="293">
        <v>0</v>
      </c>
      <c r="Q6" s="130">
        <v>0</v>
      </c>
      <c r="R6" s="307">
        <f t="shared" si="0"/>
        <v>400</v>
      </c>
      <c r="S6" s="306">
        <f t="shared" ref="S6:S19" si="3">M6+R6</f>
        <v>2278.66</v>
      </c>
      <c r="T6" s="306">
        <f t="shared" si="1"/>
        <v>2278.66</v>
      </c>
      <c r="U6" s="168"/>
      <c r="V6" s="44"/>
    </row>
    <row r="7" spans="1:22" s="263" customFormat="1" x14ac:dyDescent="0.2">
      <c r="A7" s="126" t="s">
        <v>250</v>
      </c>
      <c r="B7" s="126" t="s">
        <v>250</v>
      </c>
      <c r="C7" s="276" t="s">
        <v>378</v>
      </c>
      <c r="D7" s="194" t="s">
        <v>74</v>
      </c>
      <c r="E7" s="175" t="s">
        <v>896</v>
      </c>
      <c r="F7" s="191" t="s">
        <v>1056</v>
      </c>
      <c r="G7" s="215" t="s">
        <v>31</v>
      </c>
      <c r="H7" s="169" t="s">
        <v>1048</v>
      </c>
      <c r="I7" s="195">
        <v>45754</v>
      </c>
      <c r="J7" s="295">
        <v>45755</v>
      </c>
      <c r="K7" s="280">
        <f>M7/2</f>
        <v>1094.9750000000001</v>
      </c>
      <c r="L7" s="265">
        <f t="shared" ref="L7" si="4">M7/2</f>
        <v>1094.9750000000001</v>
      </c>
      <c r="M7" s="280">
        <v>2189.9500000000003</v>
      </c>
      <c r="N7" s="194">
        <v>0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2189.9500000000003</v>
      </c>
      <c r="T7" s="306">
        <f t="shared" si="1"/>
        <v>2189.9500000000003</v>
      </c>
    </row>
    <row r="8" spans="1:22" s="263" customFormat="1" ht="15" customHeight="1" x14ac:dyDescent="0.2">
      <c r="A8" s="313" t="s">
        <v>279</v>
      </c>
      <c r="B8" s="313" t="s">
        <v>279</v>
      </c>
      <c r="C8" s="315" t="s">
        <v>1050</v>
      </c>
      <c r="D8" s="194"/>
      <c r="E8" s="175" t="s">
        <v>1055</v>
      </c>
      <c r="F8" s="191" t="s">
        <v>1060</v>
      </c>
      <c r="G8" s="215" t="s">
        <v>31</v>
      </c>
      <c r="H8" s="169" t="s">
        <v>865</v>
      </c>
      <c r="I8" s="195">
        <v>45774</v>
      </c>
      <c r="J8" s="295">
        <v>45775</v>
      </c>
      <c r="K8" s="280">
        <v>1948.5500000000002</v>
      </c>
      <c r="L8" s="265">
        <v>1485.2199999999998</v>
      </c>
      <c r="M8" s="280">
        <f>K8+L8</f>
        <v>3433.77</v>
      </c>
      <c r="N8" s="194">
        <f t="shared" si="2"/>
        <v>2</v>
      </c>
      <c r="O8" s="281">
        <v>200</v>
      </c>
      <c r="P8" s="293">
        <v>0</v>
      </c>
      <c r="Q8" s="170">
        <v>0</v>
      </c>
      <c r="R8" s="307">
        <f t="shared" si="0"/>
        <v>400</v>
      </c>
      <c r="S8" s="306">
        <f t="shared" si="3"/>
        <v>3833.77</v>
      </c>
      <c r="T8" s="306">
        <f t="shared" si="1"/>
        <v>3833.77</v>
      </c>
    </row>
    <row r="9" spans="1:22" s="263" customFormat="1" ht="27.75" customHeight="1" x14ac:dyDescent="0.2">
      <c r="A9" s="126" t="s">
        <v>250</v>
      </c>
      <c r="B9" s="313" t="s">
        <v>1042</v>
      </c>
      <c r="C9" s="315" t="s">
        <v>378</v>
      </c>
      <c r="D9" s="194" t="s">
        <v>74</v>
      </c>
      <c r="E9" s="175" t="s">
        <v>896</v>
      </c>
      <c r="F9" s="169"/>
      <c r="G9" s="215" t="s">
        <v>31</v>
      </c>
      <c r="H9" s="169" t="s">
        <v>865</v>
      </c>
      <c r="I9" s="195">
        <v>45774</v>
      </c>
      <c r="J9" s="295">
        <v>45775</v>
      </c>
      <c r="K9" s="280">
        <v>1992.7900000000002</v>
      </c>
      <c r="L9" s="265">
        <v>871.85</v>
      </c>
      <c r="M9" s="280">
        <f>K9+L9</f>
        <v>2864.6400000000003</v>
      </c>
      <c r="N9" s="194">
        <v>0</v>
      </c>
      <c r="O9" s="281">
        <v>200</v>
      </c>
      <c r="P9" s="293">
        <v>0</v>
      </c>
      <c r="Q9" s="170">
        <v>0</v>
      </c>
      <c r="R9" s="307">
        <f t="shared" si="0"/>
        <v>0</v>
      </c>
      <c r="S9" s="306">
        <f t="shared" si="3"/>
        <v>2864.6400000000003</v>
      </c>
      <c r="T9" s="306">
        <f t="shared" si="1"/>
        <v>2864.6400000000003</v>
      </c>
    </row>
    <row r="10" spans="1:22" s="263" customFormat="1" ht="15" customHeight="1" x14ac:dyDescent="0.2">
      <c r="A10" s="313" t="s">
        <v>279</v>
      </c>
      <c r="B10" s="313" t="s">
        <v>1052</v>
      </c>
      <c r="C10" s="316" t="s">
        <v>135</v>
      </c>
      <c r="D10" s="194">
        <v>230</v>
      </c>
      <c r="E10" s="175" t="s">
        <v>411</v>
      </c>
      <c r="F10" s="169" t="s">
        <v>1057</v>
      </c>
      <c r="G10" s="215" t="s">
        <v>31</v>
      </c>
      <c r="H10" s="169" t="s">
        <v>1049</v>
      </c>
      <c r="I10" s="195">
        <v>45755</v>
      </c>
      <c r="J10" s="264" t="s">
        <v>74</v>
      </c>
      <c r="K10" s="280">
        <v>1796.9099999999999</v>
      </c>
      <c r="L10" s="280"/>
      <c r="M10" s="280">
        <f>K10+L10</f>
        <v>1796.9099999999999</v>
      </c>
      <c r="N10" s="194">
        <v>1</v>
      </c>
      <c r="O10" s="281">
        <v>200</v>
      </c>
      <c r="P10" s="293">
        <v>0</v>
      </c>
      <c r="Q10" s="170">
        <v>0</v>
      </c>
      <c r="R10" s="307">
        <f t="shared" si="0"/>
        <v>200</v>
      </c>
      <c r="S10" s="306">
        <f t="shared" si="3"/>
        <v>1996.9099999999999</v>
      </c>
      <c r="T10" s="306">
        <f t="shared" si="1"/>
        <v>1996.9099999999999</v>
      </c>
    </row>
    <row r="11" spans="1:22" s="263" customFormat="1" ht="15" customHeight="1" x14ac:dyDescent="0.2">
      <c r="A11" s="313" t="s">
        <v>279</v>
      </c>
      <c r="B11" s="313" t="s">
        <v>1052</v>
      </c>
      <c r="C11" s="315" t="s">
        <v>135</v>
      </c>
      <c r="D11" s="194">
        <v>230</v>
      </c>
      <c r="E11" s="175" t="s">
        <v>411</v>
      </c>
      <c r="F11" s="169" t="s">
        <v>1058</v>
      </c>
      <c r="G11" s="215" t="s">
        <v>31</v>
      </c>
      <c r="H11" s="169" t="s">
        <v>870</v>
      </c>
      <c r="I11" s="195">
        <v>45757</v>
      </c>
      <c r="J11" s="288">
        <v>45760</v>
      </c>
      <c r="K11" s="201">
        <v>1658.74</v>
      </c>
      <c r="L11" s="201">
        <v>1796.9099999999999</v>
      </c>
      <c r="M11" s="201">
        <f>K11+L11</f>
        <v>3455.6499999999996</v>
      </c>
      <c r="N11" s="194">
        <f t="shared" si="2"/>
        <v>4</v>
      </c>
      <c r="O11" s="281">
        <v>200</v>
      </c>
      <c r="P11" s="293">
        <v>0</v>
      </c>
      <c r="Q11" s="170">
        <v>0</v>
      </c>
      <c r="R11" s="307">
        <f t="shared" si="0"/>
        <v>800</v>
      </c>
      <c r="S11" s="306">
        <f t="shared" si="3"/>
        <v>4255.6499999999996</v>
      </c>
      <c r="T11" s="306">
        <f t="shared" si="1"/>
        <v>4255.6499999999996</v>
      </c>
    </row>
    <row r="12" spans="1:22" s="263" customFormat="1" ht="15" customHeight="1" x14ac:dyDescent="0.2">
      <c r="A12" s="313" t="s">
        <v>279</v>
      </c>
      <c r="B12" s="331" t="s">
        <v>1053</v>
      </c>
      <c r="C12" s="315" t="s">
        <v>996</v>
      </c>
      <c r="D12" s="194">
        <v>416</v>
      </c>
      <c r="E12" s="175" t="s">
        <v>1054</v>
      </c>
      <c r="F12" s="169" t="s">
        <v>1057</v>
      </c>
      <c r="G12" s="215" t="s">
        <v>31</v>
      </c>
      <c r="H12" s="169" t="s">
        <v>865</v>
      </c>
      <c r="I12" s="195">
        <v>45755</v>
      </c>
      <c r="J12" s="288">
        <v>45757</v>
      </c>
      <c r="K12" s="201">
        <f t="shared" ref="K12" si="5">M12/2</f>
        <v>1254.9599999999998</v>
      </c>
      <c r="L12" s="201">
        <f t="shared" ref="L12" si="6">M12/2</f>
        <v>1254.9599999999998</v>
      </c>
      <c r="M12" s="201">
        <v>2509.9199999999996</v>
      </c>
      <c r="N12" s="194">
        <f t="shared" si="2"/>
        <v>3</v>
      </c>
      <c r="O12" s="281">
        <v>200</v>
      </c>
      <c r="P12" s="293">
        <v>0</v>
      </c>
      <c r="Q12" s="170">
        <v>0</v>
      </c>
      <c r="R12" s="307">
        <f t="shared" si="0"/>
        <v>600</v>
      </c>
      <c r="S12" s="306">
        <f t="shared" si="3"/>
        <v>3109.9199999999996</v>
      </c>
      <c r="T12" s="306">
        <f t="shared" si="1"/>
        <v>3109.9199999999996</v>
      </c>
    </row>
    <row r="13" spans="1:22" s="263" customFormat="1" ht="15" customHeight="1" x14ac:dyDescent="0.2">
      <c r="A13" s="313" t="s">
        <v>279</v>
      </c>
      <c r="B13" s="126" t="s">
        <v>250</v>
      </c>
      <c r="C13" s="446" t="s">
        <v>819</v>
      </c>
      <c r="D13" s="194" t="s">
        <v>74</v>
      </c>
      <c r="E13" s="175" t="s">
        <v>897</v>
      </c>
      <c r="F13" s="169" t="s">
        <v>1059</v>
      </c>
      <c r="G13" s="215" t="s">
        <v>31</v>
      </c>
      <c r="H13" s="169" t="s">
        <v>1051</v>
      </c>
      <c r="I13" s="195">
        <v>45763</v>
      </c>
      <c r="J13" s="195" t="s">
        <v>74</v>
      </c>
      <c r="K13" s="201">
        <v>1370.6000000000001</v>
      </c>
      <c r="L13" s="201"/>
      <c r="M13" s="201">
        <f>K13</f>
        <v>1370.6000000000001</v>
      </c>
      <c r="N13" s="194">
        <v>0</v>
      </c>
      <c r="O13" s="281">
        <v>200</v>
      </c>
      <c r="P13" s="293">
        <v>0</v>
      </c>
      <c r="Q13" s="170">
        <v>0</v>
      </c>
      <c r="R13" s="307">
        <f t="shared" si="0"/>
        <v>0</v>
      </c>
      <c r="S13" s="306">
        <f t="shared" si="3"/>
        <v>1370.6000000000001</v>
      </c>
      <c r="T13" s="306">
        <f t="shared" si="1"/>
        <v>1370.6000000000001</v>
      </c>
      <c r="V13" s="330"/>
    </row>
    <row r="14" spans="1:22" s="329" customFormat="1" ht="15" customHeight="1" x14ac:dyDescent="0.2">
      <c r="A14" s="313" t="s">
        <v>279</v>
      </c>
      <c r="B14" s="126" t="s">
        <v>250</v>
      </c>
      <c r="C14" s="447"/>
      <c r="D14" s="194" t="s">
        <v>74</v>
      </c>
      <c r="E14" s="175" t="s">
        <v>897</v>
      </c>
      <c r="F14" s="169" t="s">
        <v>1059</v>
      </c>
      <c r="G14" s="215" t="s">
        <v>31</v>
      </c>
      <c r="H14" s="169" t="s">
        <v>1051</v>
      </c>
      <c r="I14" s="195">
        <v>45763</v>
      </c>
      <c r="J14" s="195" t="s">
        <v>74</v>
      </c>
      <c r="K14" s="201">
        <v>1405.33</v>
      </c>
      <c r="L14" s="201"/>
      <c r="M14" s="201">
        <f t="shared" ref="M14:M20" si="7">K14</f>
        <v>1405.33</v>
      </c>
      <c r="N14" s="194">
        <v>0</v>
      </c>
      <c r="O14" s="281">
        <v>200</v>
      </c>
      <c r="P14" s="293">
        <v>0</v>
      </c>
      <c r="Q14" s="170">
        <v>0</v>
      </c>
      <c r="R14" s="307">
        <f t="shared" ref="R14:R19" si="8">N14*O14+P14*Q14</f>
        <v>0</v>
      </c>
      <c r="S14" s="306">
        <f t="shared" si="3"/>
        <v>1405.33</v>
      </c>
      <c r="T14" s="306">
        <f t="shared" ref="T14:T19" si="9">S14</f>
        <v>1405.33</v>
      </c>
      <c r="U14" s="263"/>
    </row>
    <row r="15" spans="1:22" s="329" customFormat="1" ht="15" customHeight="1" x14ac:dyDescent="0.2">
      <c r="A15" s="313" t="s">
        <v>279</v>
      </c>
      <c r="B15" s="126" t="s">
        <v>250</v>
      </c>
      <c r="C15" s="447"/>
      <c r="D15" s="194" t="s">
        <v>74</v>
      </c>
      <c r="E15" s="175" t="s">
        <v>897</v>
      </c>
      <c r="F15" s="191" t="s">
        <v>1062</v>
      </c>
      <c r="G15" s="215" t="s">
        <v>31</v>
      </c>
      <c r="H15" s="169" t="s">
        <v>940</v>
      </c>
      <c r="I15" s="195">
        <v>45774</v>
      </c>
      <c r="J15" s="195" t="s">
        <v>74</v>
      </c>
      <c r="K15" s="201">
        <v>3445.77</v>
      </c>
      <c r="L15" s="201"/>
      <c r="M15" s="201">
        <f t="shared" si="7"/>
        <v>3445.77</v>
      </c>
      <c r="N15" s="194">
        <v>0</v>
      </c>
      <c r="O15" s="281">
        <v>200</v>
      </c>
      <c r="P15" s="293">
        <v>0</v>
      </c>
      <c r="Q15" s="170">
        <v>0</v>
      </c>
      <c r="R15" s="307">
        <f t="shared" si="8"/>
        <v>0</v>
      </c>
      <c r="S15" s="306">
        <f t="shared" si="3"/>
        <v>3445.77</v>
      </c>
      <c r="T15" s="306">
        <f t="shared" si="9"/>
        <v>3445.77</v>
      </c>
      <c r="U15" s="263"/>
    </row>
    <row r="16" spans="1:22" s="329" customFormat="1" ht="15" customHeight="1" x14ac:dyDescent="0.2">
      <c r="A16" s="313" t="s">
        <v>279</v>
      </c>
      <c r="B16" s="126" t="s">
        <v>250</v>
      </c>
      <c r="C16" s="447"/>
      <c r="D16" s="194" t="s">
        <v>74</v>
      </c>
      <c r="E16" s="175" t="s">
        <v>897</v>
      </c>
      <c r="F16" s="446" t="s">
        <v>1063</v>
      </c>
      <c r="G16" s="215" t="s">
        <v>31</v>
      </c>
      <c r="H16" s="169" t="s">
        <v>864</v>
      </c>
      <c r="I16" s="195">
        <v>45775</v>
      </c>
      <c r="J16" s="195" t="s">
        <v>74</v>
      </c>
      <c r="K16" s="201">
        <v>450</v>
      </c>
      <c r="L16" s="201"/>
      <c r="M16" s="201">
        <f t="shared" si="7"/>
        <v>450</v>
      </c>
      <c r="N16" s="194">
        <v>0</v>
      </c>
      <c r="O16" s="281">
        <v>200</v>
      </c>
      <c r="P16" s="293">
        <v>0</v>
      </c>
      <c r="Q16" s="170">
        <v>0</v>
      </c>
      <c r="R16" s="307">
        <f t="shared" si="8"/>
        <v>0</v>
      </c>
      <c r="S16" s="306">
        <f t="shared" si="3"/>
        <v>450</v>
      </c>
      <c r="T16" s="306">
        <f t="shared" si="9"/>
        <v>450</v>
      </c>
      <c r="U16" s="263"/>
    </row>
    <row r="17" spans="1:22" s="329" customFormat="1" ht="15" customHeight="1" x14ac:dyDescent="0.2">
      <c r="A17" s="313" t="s">
        <v>279</v>
      </c>
      <c r="B17" s="126" t="s">
        <v>250</v>
      </c>
      <c r="C17" s="447"/>
      <c r="D17" s="194" t="s">
        <v>74</v>
      </c>
      <c r="E17" s="175" t="s">
        <v>897</v>
      </c>
      <c r="F17" s="447"/>
      <c r="G17" s="215" t="s">
        <v>31</v>
      </c>
      <c r="H17" s="169" t="s">
        <v>864</v>
      </c>
      <c r="I17" s="195">
        <v>45776</v>
      </c>
      <c r="J17" s="195" t="s">
        <v>74</v>
      </c>
      <c r="K17" s="201">
        <v>1250.4199999999998</v>
      </c>
      <c r="L17" s="201"/>
      <c r="M17" s="201">
        <f t="shared" si="7"/>
        <v>1250.4199999999998</v>
      </c>
      <c r="N17" s="194">
        <v>0</v>
      </c>
      <c r="O17" s="281">
        <v>200</v>
      </c>
      <c r="P17" s="293">
        <v>0</v>
      </c>
      <c r="Q17" s="170">
        <v>0</v>
      </c>
      <c r="R17" s="307">
        <f t="shared" si="8"/>
        <v>0</v>
      </c>
      <c r="S17" s="306">
        <f t="shared" si="3"/>
        <v>1250.4199999999998</v>
      </c>
      <c r="T17" s="306">
        <f t="shared" si="9"/>
        <v>1250.4199999999998</v>
      </c>
      <c r="U17" s="263"/>
    </row>
    <row r="18" spans="1:22" s="329" customFormat="1" ht="15" customHeight="1" x14ac:dyDescent="0.2">
      <c r="A18" s="313" t="s">
        <v>279</v>
      </c>
      <c r="B18" s="126" t="s">
        <v>250</v>
      </c>
      <c r="C18" s="448"/>
      <c r="D18" s="194" t="s">
        <v>74</v>
      </c>
      <c r="E18" s="175" t="s">
        <v>897</v>
      </c>
      <c r="F18" s="448"/>
      <c r="G18" s="215" t="s">
        <v>31</v>
      </c>
      <c r="H18" s="169" t="s">
        <v>1051</v>
      </c>
      <c r="I18" s="195">
        <v>45777</v>
      </c>
      <c r="J18" s="195" t="s">
        <v>74</v>
      </c>
      <c r="K18" s="201">
        <v>1931.6000000000001</v>
      </c>
      <c r="L18" s="201"/>
      <c r="M18" s="201">
        <f t="shared" si="7"/>
        <v>1931.6000000000001</v>
      </c>
      <c r="N18" s="194">
        <v>0</v>
      </c>
      <c r="O18" s="281">
        <v>200</v>
      </c>
      <c r="P18" s="293">
        <v>0</v>
      </c>
      <c r="Q18" s="170">
        <v>0</v>
      </c>
      <c r="R18" s="307">
        <f t="shared" si="8"/>
        <v>0</v>
      </c>
      <c r="S18" s="306">
        <f t="shared" si="3"/>
        <v>1931.6000000000001</v>
      </c>
      <c r="T18" s="306">
        <f t="shared" si="9"/>
        <v>1931.6000000000001</v>
      </c>
      <c r="U18" s="263"/>
    </row>
    <row r="19" spans="1:22" s="329" customFormat="1" ht="15" customHeight="1" x14ac:dyDescent="0.2">
      <c r="A19" s="126" t="s">
        <v>229</v>
      </c>
      <c r="B19" s="313" t="s">
        <v>229</v>
      </c>
      <c r="C19" s="126" t="s">
        <v>1037</v>
      </c>
      <c r="D19" s="194" t="s">
        <v>74</v>
      </c>
      <c r="E19" s="175" t="s">
        <v>90</v>
      </c>
      <c r="F19" s="169" t="s">
        <v>1064</v>
      </c>
      <c r="G19" s="215" t="s">
        <v>31</v>
      </c>
      <c r="H19" s="169" t="s">
        <v>865</v>
      </c>
      <c r="I19" s="195">
        <v>45772</v>
      </c>
      <c r="J19" s="288">
        <v>45775</v>
      </c>
      <c r="K19" s="201">
        <f>M19/2</f>
        <v>1204.0249999999999</v>
      </c>
      <c r="L19" s="201">
        <f>M19/2</f>
        <v>1204.0249999999999</v>
      </c>
      <c r="M19" s="201">
        <v>2408.0499999999997</v>
      </c>
      <c r="N19" s="194">
        <v>0</v>
      </c>
      <c r="O19" s="281">
        <v>200</v>
      </c>
      <c r="P19" s="293">
        <v>0</v>
      </c>
      <c r="Q19" s="170">
        <v>0</v>
      </c>
      <c r="R19" s="307">
        <f t="shared" si="8"/>
        <v>0</v>
      </c>
      <c r="S19" s="306">
        <f t="shared" si="3"/>
        <v>2408.0499999999997</v>
      </c>
      <c r="T19" s="306">
        <f t="shared" si="9"/>
        <v>2408.0499999999997</v>
      </c>
      <c r="U19" s="263"/>
    </row>
    <row r="20" spans="1:22" s="329" customFormat="1" ht="15" customHeight="1" x14ac:dyDescent="0.2">
      <c r="A20" s="317"/>
      <c r="B20" s="317"/>
      <c r="D20" s="276"/>
      <c r="E20" s="221"/>
      <c r="F20" s="166"/>
      <c r="G20" s="318"/>
      <c r="H20" s="166"/>
      <c r="I20" s="319"/>
      <c r="J20" s="320"/>
      <c r="K20" s="321"/>
      <c r="L20" s="321"/>
      <c r="M20" s="245">
        <f>SUM(M5:M19)</f>
        <v>32269.929999999993</v>
      </c>
      <c r="N20" s="322"/>
      <c r="O20" s="281"/>
      <c r="P20" s="324"/>
      <c r="Q20" s="325"/>
      <c r="R20" s="326"/>
      <c r="S20" s="327"/>
      <c r="T20" s="328"/>
    </row>
    <row r="21" spans="1:22" s="329" customFormat="1" ht="15" customHeight="1" x14ac:dyDescent="0.2">
      <c r="A21" s="317"/>
      <c r="B21" s="317"/>
      <c r="C21" s="166"/>
      <c r="D21" s="276"/>
      <c r="E21" s="221"/>
      <c r="F21" s="166"/>
      <c r="G21" s="318"/>
      <c r="H21" s="166"/>
      <c r="I21" s="319"/>
      <c r="J21" s="320"/>
      <c r="L21" s="321"/>
      <c r="M21" s="321"/>
      <c r="N21" s="322"/>
      <c r="O21" s="323"/>
      <c r="P21" s="324"/>
      <c r="Q21" s="325"/>
      <c r="R21" s="326"/>
      <c r="S21" s="327"/>
      <c r="T21" s="328"/>
    </row>
    <row r="22" spans="1:22" s="329" customFormat="1" ht="15" customHeight="1" x14ac:dyDescent="0.2">
      <c r="A22" s="317"/>
      <c r="B22" s="317"/>
      <c r="C22" s="166"/>
      <c r="D22" s="276"/>
      <c r="E22" s="221"/>
      <c r="F22" s="166"/>
      <c r="G22" s="318"/>
      <c r="H22" s="166"/>
      <c r="I22" s="319"/>
      <c r="J22" s="320"/>
      <c r="K22" s="321"/>
      <c r="L22" s="321"/>
      <c r="M22" s="321"/>
      <c r="N22" s="322"/>
      <c r="O22" s="323"/>
      <c r="P22" s="324"/>
      <c r="Q22" s="325"/>
      <c r="R22" s="326"/>
      <c r="S22" s="327"/>
      <c r="T22" s="328"/>
    </row>
    <row r="23" spans="1:22" s="329" customFormat="1" ht="15" customHeight="1" x14ac:dyDescent="0.2">
      <c r="A23" s="317"/>
      <c r="B23" s="317"/>
      <c r="C23" s="166"/>
      <c r="D23" s="276"/>
      <c r="E23" s="221"/>
      <c r="F23" s="166"/>
      <c r="G23" s="318"/>
      <c r="H23" s="166"/>
      <c r="I23" s="319"/>
      <c r="J23" s="320"/>
      <c r="K23" s="321"/>
      <c r="L23" s="321"/>
      <c r="M23" s="321"/>
      <c r="N23" s="322"/>
      <c r="O23" s="323"/>
      <c r="P23" s="324"/>
      <c r="Q23" s="325"/>
      <c r="R23" s="326"/>
      <c r="S23" s="327"/>
      <c r="T23" s="328"/>
    </row>
    <row r="24" spans="1:22" x14ac:dyDescent="0.25">
      <c r="M24" s="208">
        <f>SUM(M5:M13)</f>
        <v>21378.759999999995</v>
      </c>
    </row>
    <row r="26" spans="1:22" s="165" customFormat="1" x14ac:dyDescent="0.25">
      <c r="A26"/>
      <c r="B26"/>
      <c r="D26"/>
      <c r="E26" s="221"/>
      <c r="F26" s="166"/>
      <c r="G26"/>
      <c r="H26" s="208"/>
      <c r="K26" s="208"/>
      <c r="L26" s="208"/>
      <c r="N26" s="166"/>
      <c r="P26"/>
      <c r="Q26"/>
      <c r="R26"/>
      <c r="S26"/>
      <c r="T26"/>
      <c r="V26"/>
    </row>
  </sheetData>
  <mergeCells count="27">
    <mergeCell ref="F16:F18"/>
    <mergeCell ref="C13:C18"/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92</vt:i4>
      </vt:variant>
    </vt:vector>
  </HeadingPairs>
  <TitlesOfParts>
    <vt:vector size="92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EXECUTADO_- Julho -_2024</vt:lpstr>
      <vt:lpstr>EXECUTADO_- Agosto-_2024 </vt:lpstr>
      <vt:lpstr>EXECUTADO_- Setembro -_2024</vt:lpstr>
      <vt:lpstr>EXECUTADO_- Outubro -_2024</vt:lpstr>
      <vt:lpstr>EXECUTADO_- Novembro -_2024</vt:lpstr>
      <vt:lpstr>EXECUTADO_- Dezembro -_2024 </vt:lpstr>
      <vt:lpstr>EXECUTADO_- Janeiro - _2025</vt:lpstr>
      <vt:lpstr>EXECUTADO_- Fevereiro - _2025</vt:lpstr>
      <vt:lpstr>EXECUTADO_- Março - _2025 </vt:lpstr>
      <vt:lpstr>EXECUTADO_- Abril - _2025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Isabelle Miranda Cesar</cp:lastModifiedBy>
  <cp:revision>9</cp:revision>
  <dcterms:created xsi:type="dcterms:W3CDTF">2017-08-07T12:58:20Z</dcterms:created>
  <dcterms:modified xsi:type="dcterms:W3CDTF">2025-05-22T13:20:41Z</dcterms:modified>
</cp:coreProperties>
</file>