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Tesouraria\Relatórios\MAPA DE VIAGENS E DIÁRIAS\"/>
    </mc:Choice>
  </mc:AlternateContent>
  <xr:revisionPtr revIDLastSave="0" documentId="13_ncr:1_{877097E6-F13D-4FFF-BE1E-7A09AC91DCBC}" xr6:coauthVersionLast="47" xr6:coauthVersionMax="47" xr10:uidLastSave="{00000000-0000-0000-0000-000000000000}"/>
  <bookViews>
    <workbookView xWindow="-120" yWindow="-120" windowWidth="29040" windowHeight="15840" firstSheet="72" activeTab="72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Plan2" sheetId="68" r:id="rId74"/>
    <sheet name="Plan3" sheetId="80" r:id="rId7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87" l="1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P15" i="87" l="1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<sst xmlns="http://schemas.openxmlformats.org/spreadsheetml/2006/main" count="8916" uniqueCount="799">
  <si>
    <t>MÊS REFERÊNCIA:</t>
  </si>
  <si>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</si>
  <si>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</si>
  <si>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</si>
  <si>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</si>
  <si>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</si>
  <si>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</si>
  <si>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</si>
  <si>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</si>
  <si>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</si>
  <si>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</si>
  <si>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</si>
  <si>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</si>
  <si>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</si>
  <si>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</si>
  <si>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</si>
  <si>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</si>
  <si>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</si>
  <si>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</si>
  <si>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</si>
  <si>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</si>
  <si>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</si>
  <si>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</si>
  <si>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</si>
  <si>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</si>
  <si>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</si>
  <si>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</si>
  <si>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</si>
  <si>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</si>
  <si>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</si>
  <si>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</si>
  <si>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DTC</t>
  </si>
  <si>
    <t>GERE</t>
  </si>
  <si>
    <t>ADEMIR VIEIRA</t>
  </si>
  <si>
    <t>COORDENADOR DE ENGENHARIA</t>
  </si>
  <si>
    <t>REUNIÃO SOBRE MATRIZ DE RISCO</t>
  </si>
  <si>
    <t>NACIONAL</t>
  </si>
  <si>
    <t>PE</t>
  </si>
  <si>
    <t>RECIFE</t>
  </si>
  <si>
    <t>RJ</t>
  </si>
  <si>
    <t>RIO DE JANEIRO</t>
  </si>
  <si>
    <t>GILBERTO DE SOUZA SANTOS</t>
  </si>
  <si>
    <t>GESTOR DE PROJETOS</t>
  </si>
  <si>
    <t>REUNIÃO NA MITSUI PADRONIZAÇÃO DE ESPECIFICAÇÕES TÉCNICAS DE MATERIAS &amp; EQUIPAMENTOS</t>
  </si>
  <si>
    <t>DAF</t>
  </si>
  <si>
    <t>GCON</t>
  </si>
  <si>
    <t>ALEXANDRE CARLOS DE CARVALHO LISBOA</t>
  </si>
  <si>
    <t>GERENTE DE CONTABILIDADE E FISCAL</t>
  </si>
  <si>
    <t>REUNIÃO DO GT DE CONTABILIDADE DA ABEGÁS E EUNIÃO DO PCPGÁS</t>
  </si>
  <si>
    <t>JAILSON JOSÉ GALVÃO</t>
  </si>
  <si>
    <t>DIRETOR TÉCNICO COMERCIAL</t>
  </si>
  <si>
    <t>REUNIÃO GASPETRO</t>
  </si>
  <si>
    <t>PRE</t>
  </si>
  <si>
    <t>CJUR</t>
  </si>
  <si>
    <t>CARLOS EDUARDO CARNEIRO GUEDES ALCOFORADO</t>
  </si>
  <si>
    <t>COORDENADOR JURÍDICO</t>
  </si>
  <si>
    <t>REUNIÃO THOMAS LUCHINI - PRESIDENTE GASPETRO</t>
  </si>
  <si>
    <t>CPLA</t>
  </si>
  <si>
    <t>EMANUELLE CRISTINE DA SILVA BARCELAR</t>
  </si>
  <si>
    <t>000242</t>
  </si>
  <si>
    <t>ANALISTA FINANCEIRO</t>
  </si>
  <si>
    <t>REALIZAÇÃO DE CURSO - PLANEJAMENTO FINANCEIRO E ORÇAMENTO</t>
  </si>
  <si>
    <t>SP</t>
  </si>
  <si>
    <t>SÃO PAULO</t>
  </si>
  <si>
    <t>QSMS</t>
  </si>
  <si>
    <t>RENATA DE ASSIS ALBUQUERQUE</t>
  </si>
  <si>
    <t>000195</t>
  </si>
  <si>
    <t>TÉCNICO QSMS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</si>
  <si>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</si>
  <si>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</si>
  <si>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</si>
  <si>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</si>
  <si>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</si>
  <si>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TÉCNICO OPERACIONAL QSMS</t>
  </si>
  <si>
    <t>000066</t>
  </si>
  <si>
    <t>REUNIÃO</t>
  </si>
  <si>
    <t>JAIME CERQUEIRA LIMA ISENSEE</t>
  </si>
  <si>
    <t>-</t>
  </si>
  <si>
    <t>ASSISTENTE DE DIRETORIA</t>
  </si>
  <si>
    <t>LUCIANO COUTO ROSA GUIMARAES</t>
  </si>
  <si>
    <t>DIRETOR ADMINISTRATIVO FINANCEIRO</t>
  </si>
  <si>
    <t>GDIS</t>
  </si>
  <si>
    <t>GEORGE WASHINGTON PAULO FERREIRA</t>
  </si>
  <si>
    <t>000146</t>
  </si>
  <si>
    <t>COORDENADOR DE DISTRIBUIÇÃO</t>
  </si>
  <si>
    <t xml:space="preserve">EVENTO </t>
  </si>
  <si>
    <t>ROBERTO CARLOS MOREIRA FONTELLES</t>
  </si>
  <si>
    <t>DIRETOR PRESIDENTE</t>
  </si>
  <si>
    <t>000056</t>
  </si>
  <si>
    <t>REUNIÃO ANP</t>
  </si>
  <si>
    <t>REUNIÃO PETROBRAS</t>
  </si>
  <si>
    <t>GMAR</t>
  </si>
  <si>
    <t>RUBENING FERNANDO PEREIRA FELIPE</t>
  </si>
  <si>
    <t>000254</t>
  </si>
  <si>
    <t>TÉCNICO OPERACIONAL DE MEDIÇÃO E AUTOMOÇÃO</t>
  </si>
  <si>
    <t>CURSO ABGÁS</t>
  </si>
  <si>
    <t>ITALLO JOSE DOS SANTOS</t>
  </si>
  <si>
    <t>000073</t>
  </si>
  <si>
    <t>TÉCNICO OPERACIONAL DE OPERAÇÕES</t>
  </si>
  <si>
    <t>CURSO TRABALHOS EM ATMOSFERA EXPLOSIVA</t>
  </si>
  <si>
    <t>DANILO PAVEL SOARES  DO ESPIRITO SANTO</t>
  </si>
  <si>
    <t>000277</t>
  </si>
  <si>
    <t>ENGENHEIRO DE PROJETOS</t>
  </si>
  <si>
    <t>REUNIÃO GT PADRONIZAÇÃO ESPECIFICAÇÕES TÉCNICAS DE MATERIAS E EQUIPAMENTOS</t>
  </si>
  <si>
    <t>SC</t>
  </si>
  <si>
    <t>FLORIANÓPOLIS</t>
  </si>
  <si>
    <t xml:space="preserve">PRE </t>
  </si>
  <si>
    <t>000000</t>
  </si>
  <si>
    <t>REUNIÃO CEGÁS</t>
  </si>
  <si>
    <t>CE</t>
  </si>
  <si>
    <t>FORTALEZA</t>
  </si>
  <si>
    <t>GCRC</t>
  </si>
  <si>
    <t>ELIZEU SERGIO DE AMORIM COELHO</t>
  </si>
  <si>
    <t>000182</t>
  </si>
  <si>
    <t>ENGENHEIRO DE SUPORTE TÉCNICO</t>
  </si>
  <si>
    <t>CURSO APERFEIÇOAMENTO EM TECNOLOGIA DE MANUTENÇÃO E CONVERSÃO DE AQUECEDORES DIGITAIS</t>
  </si>
  <si>
    <t>BA</t>
  </si>
  <si>
    <t>SALVADOR</t>
  </si>
  <si>
    <t>DERLIN ALVES MOREIRA NETO</t>
  </si>
  <si>
    <t>000150</t>
  </si>
  <si>
    <t>SUPERVISOR DE PROCESSOS E QUALIDADE</t>
  </si>
  <si>
    <t>REUNIÃO CDL'S E CURSO ABGÁS</t>
  </si>
  <si>
    <t>REUNIÃO BAHIAGÁS</t>
  </si>
  <si>
    <t>FERNANDO PIMENTEL FILHO</t>
  </si>
  <si>
    <t>000067</t>
  </si>
  <si>
    <t>ASSISTENTE DIRETOR</t>
  </si>
  <si>
    <t>FORUM</t>
  </si>
  <si>
    <t xml:space="preserve">SP </t>
  </si>
  <si>
    <t>REUNIÃO NA LEITE, TOSTO  E BARROS ADVOGADOS</t>
  </si>
  <si>
    <t>CNNE</t>
  </si>
  <si>
    <t>MANOEL HENRIQUE DE ANDRADE LIMA</t>
  </si>
  <si>
    <t>000147</t>
  </si>
  <si>
    <t xml:space="preserve">COORDENADOR DE NOVOS NEGÓCIOS </t>
  </si>
  <si>
    <t>GFIN</t>
  </si>
  <si>
    <t xml:space="preserve">EVELLYN MARIA RAINHA PERDIGÃO </t>
  </si>
  <si>
    <t>000280</t>
  </si>
  <si>
    <t>ENCONTRO TÉCNICO FINANCEIRO 2017</t>
  </si>
  <si>
    <t>RENAN ALEX ALBUQUERQUE BEZERRA</t>
  </si>
  <si>
    <t>000202</t>
  </si>
  <si>
    <t>SUPERVISOR DE ORÇAMENTO</t>
  </si>
  <si>
    <t>ISABELA DA SILVA SANTANA</t>
  </si>
  <si>
    <t>000230</t>
  </si>
  <si>
    <t>GERENTE FINANCEIRO</t>
  </si>
  <si>
    <t>CLCO</t>
  </si>
  <si>
    <t>HENRIQUE PAASHAUS ACIOLY DE DE MELO</t>
  </si>
  <si>
    <t>000296</t>
  </si>
  <si>
    <t>SUPERVISOR JÚRIDICO</t>
  </si>
  <si>
    <t>BENCHMARKING + ATIVO FIXO NA ALGÁS</t>
  </si>
  <si>
    <t>AL</t>
  </si>
  <si>
    <t>MACEIO</t>
  </si>
  <si>
    <t>FÓRUM DE EDITAIS - PROMOVIDO PELA MITSUI</t>
  </si>
  <si>
    <t>GADS</t>
  </si>
  <si>
    <t>MARCOS FILIPE PEIXOTO DE ARAUJO</t>
  </si>
  <si>
    <t>000293</t>
  </si>
  <si>
    <t>SUPERVISOR DE COMPRAS</t>
  </si>
  <si>
    <t>ROMUALDO BARROS GUIMARAES</t>
  </si>
  <si>
    <t>000047</t>
  </si>
  <si>
    <t>GERENTE DE ADMINISTRAÇÃO E SUPRIMENTOS</t>
  </si>
  <si>
    <t>RENATO JOSE PESSOA MENDES</t>
  </si>
  <si>
    <t>000045</t>
  </si>
  <si>
    <t>COORDENADOR DE CONTRATAÇÃO E PLANEJAMENTO</t>
  </si>
  <si>
    <t>REUNIÃO MITSUI</t>
  </si>
  <si>
    <t>ADAF</t>
  </si>
  <si>
    <t>FÓRUM PLATTS DE ENERGIA DO BRASIL</t>
  </si>
  <si>
    <t xml:space="preserve">TÉCNICO OPERACIONAL </t>
  </si>
  <si>
    <t>APRESENTAÇÃO DE TRABALHO (RIO PIPELINE)</t>
  </si>
  <si>
    <t>FÓRUM DE EQUALIZAÇÃO DE EDITAIS E LEIS 13303</t>
  </si>
  <si>
    <t>GETULIO ALVES DE MELO MENDONÇA JUNIOR</t>
  </si>
  <si>
    <t>000158</t>
  </si>
  <si>
    <t>GESTOR DE PLANEJAMENTO E CONTROLE E CONTRATO</t>
  </si>
  <si>
    <t>REUNIÃO GT PADRONIZAÇÃO PPU/CPU</t>
  </si>
  <si>
    <t>000129</t>
  </si>
  <si>
    <t xml:space="preserve"> POSSE DO NOVO PRESIDENTE ANP</t>
  </si>
  <si>
    <t>RENATA BARBOSA DAMASIO</t>
  </si>
  <si>
    <t>0000127</t>
  </si>
  <si>
    <t>ENGENHAIRA DE OPERAÇÕES</t>
  </si>
  <si>
    <t>APRESENTAÇÃO ORÇAMENTO MITSUI</t>
  </si>
  <si>
    <t>CURSO POLITICA DE COBRANÇA E CONTROLE DE INADIMPLÊNCIA</t>
  </si>
  <si>
    <t>ALEXANDRA SOCORRO DE SOUSA NOGUEIRA CUNACIA</t>
  </si>
  <si>
    <t>000039</t>
  </si>
  <si>
    <t>SUPERVISORA DE FATURAMENTO E COBRANÇA</t>
  </si>
  <si>
    <t xml:space="preserve">MESA REDONDA DE ENERGIA DO BRASIL : GÁS E ENERGIA </t>
  </si>
  <si>
    <t>REUNIÃO COM AS DISTRIBUIDORAS DE GÁS DO NE</t>
  </si>
  <si>
    <t>MACEIÓ</t>
  </si>
  <si>
    <t>WORKSHOP GHP/ABS EVENTO PANASONIC</t>
  </si>
  <si>
    <t>JOAO ALFREDO DE MORAIS GUERRA</t>
  </si>
  <si>
    <t>000119</t>
  </si>
  <si>
    <t>SUPERVISOR DO SEGMENTO RESIDENCIAL</t>
  </si>
  <si>
    <t>GCVI</t>
  </si>
  <si>
    <t>EVALDO PINTO VIEIRA DE MELLO</t>
  </si>
  <si>
    <t>000317</t>
  </si>
  <si>
    <t>GERENTE DE COMERCIALIZAÇÃO VEICULAR E INDUSTRIAL</t>
  </si>
  <si>
    <t>MARCO ANTONIO ASSUMPCAO PINTO DE OLIVEIRA</t>
  </si>
  <si>
    <t>000071</t>
  </si>
  <si>
    <t>GETI</t>
  </si>
  <si>
    <t>HENRIQUE DE AGUIAR SA VILA NOVA JUNIOR</t>
  </si>
  <si>
    <t>000284</t>
  </si>
  <si>
    <t>GERENTE DE TECNOLOGIA DA INFORMAÇÃO</t>
  </si>
  <si>
    <t>ENCONTRO DO COMITÊ GESTOR E DE DESENVOLVIMENTO GGÁS</t>
  </si>
  <si>
    <t>PR</t>
  </si>
  <si>
    <t>CURITIBA</t>
  </si>
  <si>
    <t>FELIPE AUGUSTO MONTEIRO DE SOUZA</t>
  </si>
  <si>
    <t>000228</t>
  </si>
  <si>
    <t>ANALISTA DE SISTEMA</t>
  </si>
  <si>
    <t>PARTICIPAÇÃO FORUM REGULATÓRIO OIL&amp;GAS</t>
  </si>
  <si>
    <t>REUNIÃO ADV ANDRÉ SERRÃO</t>
  </si>
  <si>
    <t>JONATHAS MESQUITA DE ALMEIDA</t>
  </si>
  <si>
    <t>000063</t>
  </si>
  <si>
    <t>SUPERVISOR FISCAL</t>
  </si>
  <si>
    <t>REUNIÃO GT CONTABILIDADE ABEGAS</t>
  </si>
  <si>
    <t>MA</t>
  </si>
  <si>
    <t>SÃO LUÍS</t>
  </si>
  <si>
    <t>GERE - COORDENADORIA DE ENGENHARIA</t>
  </si>
  <si>
    <t>PARTICIPAÇÃO DO GT DE PADRONIZAÇÃO DE ESPECIFICAÇÕES TÉCNICAS DE MATERIAS E EQUIPAMENTOS</t>
  </si>
  <si>
    <t>PARTICIPAÇÃO PADRONIZAÇÃO PPU/CPU - 2° REUNIÃO</t>
  </si>
  <si>
    <t>CPLA - COORDENADORIA DE PLANEJ CORPORATIVO</t>
  </si>
  <si>
    <t>LUCAS GOMES COSTA</t>
  </si>
  <si>
    <t>0000320</t>
  </si>
  <si>
    <t>COORDENADOR DE PLANEJAMENTO CORPORATIVO</t>
  </si>
  <si>
    <t>CURSO PLANEJAMENTO FINANCEIRO E ORÇAMENTO EMPRESARIAL</t>
  </si>
  <si>
    <t>ASSEMBLEIA GERAL EXTRAORDINÁRIA ABEGÁS</t>
  </si>
  <si>
    <t>CJUR - COORDENADORIA JURIDICA</t>
  </si>
  <si>
    <t>VISITA ALGAS</t>
  </si>
  <si>
    <t>JOSE WALDIR FERRARI</t>
  </si>
  <si>
    <t>WORKSHOP SUPRIMENTO DE GAS</t>
  </si>
  <si>
    <t>DAF - DIRETOR ADMINISTRATIVO FINANCEIRO</t>
  </si>
  <si>
    <t>GCON - GERENCIA CONTABIL E FISCAL</t>
  </si>
  <si>
    <t>REUNIÃO DO GRUPO DE TRABALHO DE CONTABILIDADE DA ABEGÁS</t>
  </si>
  <si>
    <t>PRE - PRESIDÊNCIA</t>
  </si>
  <si>
    <t>QSMS - QUALIDADE, SEGURANÇA, MEIO AMB. E SAUD</t>
  </si>
  <si>
    <t>REUNIÃO ABEGÁS</t>
  </si>
  <si>
    <t>PRE - PRESIDENCIA</t>
  </si>
  <si>
    <t>ASSEMBLEIA ABEGÁS</t>
  </si>
  <si>
    <t>DTC - DIRETORIA TÉCNICO - COMERCIAL</t>
  </si>
  <si>
    <t>GCRC - GERENCIA DE COMERC. RESID/COMERCIAL</t>
  </si>
  <si>
    <t>EVENTO PROMOVIDO PELA BAHIAGÁS COM FOCO NO SEGMENTO RESIDÊNCIAL</t>
  </si>
  <si>
    <t>VALOR DA DIARIA PARCIAL E REFERENTE AO REEMBOLSO QUE O COLABORADOR TEVE  DIREITO NA HORA DA PRESTAÇÃO DE CONTA</t>
  </si>
  <si>
    <t>ANDERSON FRANCISCO DE LIMA ANDRADE</t>
  </si>
  <si>
    <t>000082</t>
  </si>
  <si>
    <t>GERENTE DE COMERCIALIZAÇÃO RESIDENCIAL E COMERCIAL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</si>
  <si>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</si>
  <si>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</si>
  <si>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</si>
  <si>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</si>
  <si>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</si>
  <si>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 xml:space="preserve">CURSO DE CONTABILIDADE </t>
  </si>
  <si>
    <t>CARMELO JOSE SOBRAL DELGADO</t>
  </si>
  <si>
    <t>000013</t>
  </si>
  <si>
    <t>COORDENADOR DE QSMS</t>
  </si>
  <si>
    <t>REPRESENTAR A COPERGÁS NO COMITÊ DE SMS DA ABEGAS</t>
  </si>
  <si>
    <t>3° REUNIÃO DE HARMONIZAÇÃO DOS DPR's ABEGÁS NORDESTE</t>
  </si>
  <si>
    <t>REUNIÃO ORDINÁRIA ASSOCIADOS ABEGAS</t>
  </si>
  <si>
    <t>00000</t>
  </si>
  <si>
    <t>DTC - DIRETORIA TECNICO - COMERCIAL</t>
  </si>
  <si>
    <t>SEMINÁRIO SISTEMA MULTICAMADAS E REUNIÃO COMITÊ DE INOVAÇÃO</t>
  </si>
  <si>
    <t>THALES JOSE DE GOES HOLANDA</t>
  </si>
  <si>
    <t>000083</t>
  </si>
  <si>
    <t xml:space="preserve"> ENGENHEIRO DE SUPORTE TÉCNICO</t>
  </si>
  <si>
    <t>PARTICIPAÇÃO NO EVENTO DO SEGMENTO RESIDENCIAL ORGANIZADO PELA BAHIAGÁS</t>
  </si>
  <si>
    <t>GCVI - GERENCIA DE COMERC. VEICULAR/INDUSTRIA</t>
  </si>
  <si>
    <t>PROSPEÇÃO COMERCIAL DO MUNICIPIO DE GARANHUNS INDUSTRIAL E VEICULAR</t>
  </si>
  <si>
    <t>GARANHUNS</t>
  </si>
  <si>
    <t>VIAGEM REALIZADA CO O CARRO DA FROTA (COPERGAS)</t>
  </si>
  <si>
    <t>ANTONIO CARLOS VERAS DE OLIVEIRA</t>
  </si>
  <si>
    <t>000153</t>
  </si>
  <si>
    <t>SUPERVISOR DO SEGMENTO COMERCIAL</t>
  </si>
  <si>
    <t>CLCO - COORDENADORIA DE CONTRATACAO E LICITAÇÃO</t>
  </si>
  <si>
    <t>HENRIQUE PAASHAUS ACIOLY DE MELO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</si>
  <si>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</si>
  <si>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</si>
  <si>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</si>
  <si>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</si>
  <si>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DAF - DIRETORIA ADMINISTRATIVO FINANCEIRO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</si>
  <si>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</si>
  <si>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</si>
  <si>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</si>
  <si>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</si>
  <si>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</si>
  <si>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</si>
  <si>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</si>
  <si>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REUNIÃO COM OS PRESIDENTES E DIRETORES DAS DISTRIBUIDORAS DE GN DO NORDESTE</t>
  </si>
  <si>
    <t xml:space="preserve">CE </t>
  </si>
  <si>
    <t>JOAO EULINO DA SILVA NETO</t>
  </si>
  <si>
    <t>000236</t>
  </si>
  <si>
    <t>CONFERÊNCIA GARTNER SEGURANÇA E GESTÃO DE RISCO E VISITA AS EMPRESAS ECOGEN E TRENMICRO</t>
  </si>
  <si>
    <t>16/0818</t>
  </si>
  <si>
    <t xml:space="preserve">REUNIÃO TÉCNICA ZÊNITE </t>
  </si>
  <si>
    <t>GLOBAL OPERATION (GCVI/GCRC) E ÁREA OPERAÇÃO E MANUTENÇÃO</t>
  </si>
  <si>
    <t>GDIS - COORDENADORIA DE DISTRIBUICAO</t>
  </si>
  <si>
    <t>LUIZ FLAVIO BESERRA DE ARAUJO</t>
  </si>
  <si>
    <t>000181</t>
  </si>
  <si>
    <t xml:space="preserve">CURSO INSPEÇÃO DE TUBULAÇÕES E DUSTOS INDUSTRIAIS </t>
  </si>
  <si>
    <t xml:space="preserve">6º SEMINÁRIO DE GESTÃO DE DISTRIBUIÇÃO DE GÁS NATURAL </t>
  </si>
  <si>
    <t xml:space="preserve">GERENTE FINANCEIRA </t>
  </si>
  <si>
    <t>SUPERVISOR DE ORÇAMENTO E CONTAS A PAGAR</t>
  </si>
  <si>
    <t>GERH - GERENCIA DE RECURSOS HUMANOS</t>
  </si>
  <si>
    <t>JULIANE SOARES DE ALBUQUERQUE</t>
  </si>
  <si>
    <t>000061</t>
  </si>
  <si>
    <t>GERENTE DE RECURSOS HUMANOS</t>
  </si>
  <si>
    <t>JULIANA DE OLIVEIRA NERY</t>
  </si>
  <si>
    <t>000205</t>
  </si>
  <si>
    <t>SUPERVISORA DE CAPACITAÇÃO E DESENVOLVIMENTO DE EQUIPE</t>
  </si>
  <si>
    <t>REBEKA RODRIGUES LOBO</t>
  </si>
  <si>
    <t>000229</t>
  </si>
  <si>
    <t>SUPERVISORA DE TI</t>
  </si>
  <si>
    <t>COMUN - COMUNICACAO</t>
  </si>
  <si>
    <t>SILVANA MARIA VICTOR DE GODOY</t>
  </si>
  <si>
    <t>000299</t>
  </si>
  <si>
    <t>GESTORA DE COMUNICAÇÃO</t>
  </si>
  <si>
    <t>TREINAMENTO GESTÃO DE EVENTOS</t>
  </si>
  <si>
    <t>CCIN - COORDENADORIA DE CONTROLE INTERNO</t>
  </si>
  <si>
    <t>HUBERT HIRSCHLE FILHO</t>
  </si>
  <si>
    <t>000053</t>
  </si>
  <si>
    <t>COORDENADOR DE CONTROLE INTERNO</t>
  </si>
  <si>
    <t>CURSO GOVERNACE, RISK &amp; COMPLIACE</t>
  </si>
  <si>
    <t>TECNICO OPERACIONAL DE OPERAÇÕES</t>
  </si>
  <si>
    <t>TREINAMENTO DE PROTEÇÃO CONTRA DESCARGAS ATMOSFÉRICAS</t>
  </si>
  <si>
    <t>REUNIÃO ESCRITÓRIO DE ADVOCACIA E ASSEMBLEIA ABEGAS E RJ</t>
  </si>
  <si>
    <t xml:space="preserve">RJ </t>
  </si>
  <si>
    <t>REUNIÃO ESCRITÓRIO DE ADVOCACIA LEITE E TOSTO</t>
  </si>
  <si>
    <t>FABIO EDUARDO MORGADO</t>
  </si>
  <si>
    <t>000346</t>
  </si>
  <si>
    <t>GMAR - COORDENADORIA DE MED. E ANALISE DE RED</t>
  </si>
  <si>
    <t>RODRIGO DE BARROS SILVA</t>
  </si>
  <si>
    <t>000204</t>
  </si>
  <si>
    <t>GESTOR DE MEDIÇÃOE CONTROLE</t>
  </si>
  <si>
    <t xml:space="preserve">PARTICIPAÇÃO DA FEIRA RIO OIL AND GAS </t>
  </si>
  <si>
    <t>RAFAEL HENRIQUE TAVARES BEZERRA MENDES</t>
  </si>
  <si>
    <t>000087</t>
  </si>
  <si>
    <t>COORDENADOR DE MEDIÇÃO E ANALISE DE REDE</t>
  </si>
  <si>
    <t>NATALIA FRAZAO NASCIMENTO</t>
  </si>
  <si>
    <t>000226</t>
  </si>
  <si>
    <t>ENGENHEIRO DE OPERAÇÕES</t>
  </si>
  <si>
    <t xml:space="preserve">33° CONGRESSO BRASILEIRO DE MANUTENÇÃO E GESTÃO DE ATIVOS </t>
  </si>
  <si>
    <t>BH</t>
  </si>
  <si>
    <t>BELO HORIZONTE</t>
  </si>
  <si>
    <t>QSMS - QUALIDADE, SEGURANÇA, MEIO AMB. E SAUDE</t>
  </si>
  <si>
    <t>TECNICO QSMS</t>
  </si>
  <si>
    <t>TREINAMENTO SOBRE ELABORAÇÃO E ARTICULAÇÃO DE DOCUMENTOS TRABALHISTA</t>
  </si>
  <si>
    <t>RS</t>
  </si>
  <si>
    <t>PORTO ALEGRE</t>
  </si>
  <si>
    <t>COORDENADOR QSMS</t>
  </si>
  <si>
    <t>REUNIÃO COMITÊ DE SMS DA ABEGAS</t>
  </si>
  <si>
    <t>ASSITENTE DE DIRETORIA</t>
  </si>
  <si>
    <t xml:space="preserve">CURSO NEGOCIAÇÃO DE CONTRATOS DE COMPRA E VENDA </t>
  </si>
  <si>
    <t>WALTER SANTANA DE SOUZA FILHO</t>
  </si>
  <si>
    <t>000074</t>
  </si>
  <si>
    <t>CONGRESSO BRASILEIRO DE MANUTENÇÃO E GESTÃO DE ATIVOS</t>
  </si>
  <si>
    <t>ANALISTA DE SISTEMAS</t>
  </si>
  <si>
    <t>WORKSHOP DE GESTÃO DE ATIVOS</t>
  </si>
  <si>
    <t>CLEBSON CAMPELO DA SILVA</t>
  </si>
  <si>
    <t>000128</t>
  </si>
  <si>
    <t>ENGENHEIRO DE SUPORTE TECNICO</t>
  </si>
  <si>
    <t>TESTE DE ACEITAÇÃO DE FABRICA</t>
  </si>
  <si>
    <t>ORLANDO FERNANDO DA SILVA FILHO</t>
  </si>
  <si>
    <t>000069</t>
  </si>
  <si>
    <t>TECNICO OPERACIONAL DE MEDIAÇÃO E AUTOMAÇÃO</t>
  </si>
  <si>
    <t>REUNIÃO ABEGAS</t>
  </si>
  <si>
    <t>EVENTO PREMIAÇÃO - EPOCA NEGOCIOS 360°</t>
  </si>
  <si>
    <t>GERENTE DE CONTABILIDADE E FSICAL</t>
  </si>
  <si>
    <t xml:space="preserve">WORKSHOP DE GESTÃO DE ATIVOS PATRIMONIAS </t>
  </si>
  <si>
    <t>COORDENADOR DE NOVOS NEGÓCIOS</t>
  </si>
  <si>
    <t>PARTICIPAÇÃO COMITE DE INOVAÇÃO ABEGÁS E SEMINÁRIO MULTICAMADA</t>
  </si>
  <si>
    <t>000320</t>
  </si>
  <si>
    <t>TERINAMENTO BSC</t>
  </si>
  <si>
    <t>TREINAMENTO SOFTWARE DE ESCOAMENTO HIDRÁULICO</t>
  </si>
  <si>
    <t>SEGE - COORDENADORIA DA SECRETARIA GERAL</t>
  </si>
  <si>
    <t>ANA CRISTINA DA SILVA SANTOS</t>
  </si>
  <si>
    <t>000023</t>
  </si>
  <si>
    <t>COORDENADORA DE SECRETARIA GERL</t>
  </si>
  <si>
    <t>CURSO DE SECRETARIA DE GOVERNANÇA CORPORATIVA</t>
  </si>
  <si>
    <t>DAF - DIRETORIA ADMINISTRATIVO FINANCEIRA</t>
  </si>
  <si>
    <t xml:space="preserve">REUNIÃO DO GRUPO DE TRABALHO DE CONTADORES DA ABEGAS </t>
  </si>
  <si>
    <t>RN</t>
  </si>
  <si>
    <t>NATAL</t>
  </si>
  <si>
    <t>ADRIANO VIEIRA BRANDAO</t>
  </si>
  <si>
    <t>000244</t>
  </si>
  <si>
    <t>CURSO DE PROTEÇÃO CATÓDICA</t>
  </si>
  <si>
    <t>AFRANIO BARBOSA DE ALMEIDA E SILVA</t>
  </si>
  <si>
    <t>000130</t>
  </si>
  <si>
    <t>ENGENHEIRO OPERACIONAL</t>
  </si>
  <si>
    <t>SEMINARIO INTERNACIONAL MOBILIDADE A GAS NATURAL</t>
  </si>
  <si>
    <t>APRESENTAÇÃO ORÇAMENTO MITSUI E GASPETRO</t>
  </si>
  <si>
    <t>BRUNO CARVALHO DE SOUSA</t>
  </si>
  <si>
    <t>000065</t>
  </si>
  <si>
    <t>SUPERVISOR DO SEGMENTO VEICULAR</t>
  </si>
  <si>
    <t>REUNIÃO ANÁLISE CRITICA DE INVESTIMENTO E DE MERCADO</t>
  </si>
  <si>
    <t>ROBERTO COBO ZANELLA</t>
  </si>
  <si>
    <t>000347</t>
  </si>
  <si>
    <t>ASSEMBLÉIA ABGÁS</t>
  </si>
  <si>
    <t>PROSPECÇÃO MUNICÍPIO PETROLINA</t>
  </si>
  <si>
    <t>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</si>
  <si>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</si>
  <si>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</si>
  <si>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</si>
  <si>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</si>
  <si>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GADS - GERENCIA DE ADMINISTRACAO E SUPRIMENTO</t>
  </si>
  <si>
    <t>SUPERVISOR  DE COMPRA E ADM DE ESTOQUES</t>
  </si>
  <si>
    <t>VISITA A SC BENCHMARKIMG</t>
  </si>
  <si>
    <t>SUPERVISOR ADMINISTRATIVO</t>
  </si>
  <si>
    <t xml:space="preserve">CLCO - COORDENADORIA DE CONTRATACAO E LICITA </t>
  </si>
  <si>
    <t>EDUARDO REIS DA SILVA</t>
  </si>
  <si>
    <t>000349</t>
  </si>
  <si>
    <t>SUPERVISOR JURIDICO</t>
  </si>
  <si>
    <t>DIEGO LIMA CAMARA DE ALBUQUERQUE</t>
  </si>
  <si>
    <t>000345</t>
  </si>
  <si>
    <t>GESTOR DE PLANEJAMENTO E CONTROLE DE CONTRATOS</t>
  </si>
  <si>
    <t>REUNIÃO ABEGAS E GASPETRO</t>
  </si>
  <si>
    <t>EVENTO ABEGAS</t>
  </si>
  <si>
    <t>SE</t>
  </si>
  <si>
    <t>ARACAJU</t>
  </si>
  <si>
    <t>GERENTE FINANCEIRA</t>
  </si>
  <si>
    <t>ANDRE WILSON DE QUEIROZ CAMPOS</t>
  </si>
  <si>
    <t>AMCHAM/MISSÃO CAMPINAS</t>
  </si>
  <si>
    <t>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</si>
  <si>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</si>
  <si>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</si>
  <si>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</si>
  <si>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</si>
  <si>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</si>
  <si>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AUDIÊNCIA ANP</t>
  </si>
  <si>
    <t>10/042019</t>
  </si>
  <si>
    <t>PROGRAMA DE GESTÃO DE LIDERANÇA AVANÇADA</t>
  </si>
  <si>
    <t>PARTICIPAÇÃO REUNIÃO NOVIX</t>
  </si>
  <si>
    <t>DF</t>
  </si>
  <si>
    <t>BRASILIA</t>
  </si>
  <si>
    <t>2° ENCONTROS DAS ESTATAIS</t>
  </si>
  <si>
    <t>BRASÍLIA</t>
  </si>
  <si>
    <t>ANALISTA FINANCEIRA</t>
  </si>
  <si>
    <t>CURSO DE ANÁLISE DE CENÁRIOS</t>
  </si>
  <si>
    <t>REUNIÃO RAC - INVESTIMENTO E MERCADO</t>
  </si>
  <si>
    <t>REUNIÃO DE AUDITORIA DE SMS NA SERGÁS</t>
  </si>
  <si>
    <t>24/0519</t>
  </si>
  <si>
    <t>TARCISIO DIAS DE ARAUJO</t>
  </si>
  <si>
    <t>000264</t>
  </si>
  <si>
    <t>TÉCNICO OPERCIONAL DE CONVERSÃO E SUPORTE TÉCNICO</t>
  </si>
  <si>
    <t>CURSO ENTENDENDO O MERCADO DE GNV - ABEGÁS</t>
  </si>
  <si>
    <t>PARTICIPAÇÃO WORKSHOP</t>
  </si>
  <si>
    <t>REUNIÃO GAPETRO E SCGÁS</t>
  </si>
  <si>
    <t>HERNANI LIMA DE QUEIROZ</t>
  </si>
  <si>
    <t>000338</t>
  </si>
  <si>
    <t xml:space="preserve">ANALISTA DE CONTROLE INTERNO </t>
  </si>
  <si>
    <t xml:space="preserve">CURSO DE GESTÃO DE RISCO OPERACIONAL </t>
  </si>
  <si>
    <t>MILENA MACHADO SANTA CRUZ</t>
  </si>
  <si>
    <t>000325</t>
  </si>
  <si>
    <t>REUNIÃO DO CÔMITE DE INTEGRIDADE DE ATIVOS ABEGÁS</t>
  </si>
  <si>
    <t>REUNIÃO DO CÔMITE GESTOR DO GGAS NA BAHIAGÁS</t>
  </si>
  <si>
    <t>EVENTO FIEPE E VISITA A CLIENTES</t>
  </si>
  <si>
    <t>PEDRO LIMA COELHO</t>
  </si>
  <si>
    <t>CURSO PLANEJAMENTO FINANCEIRO</t>
  </si>
  <si>
    <t>CAE - COMITÊ DE AUDITORIA ESTATUTÁRIO</t>
  </si>
  <si>
    <t>JOAO BATISTA DE MORAES GUERRA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</si>
  <si>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</si>
  <si>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</si>
  <si>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</si>
  <si>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</si>
  <si>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HUGO LEONARDO ARAUJO DA CRUZ DINIZ</t>
  </si>
  <si>
    <t>JOSINALDO FERNANDES DA SILVA</t>
  </si>
  <si>
    <t>LEONARDO CHAVES SANTOS</t>
  </si>
  <si>
    <t>GIOVANNI CAMPOS AMARAL</t>
  </si>
  <si>
    <t>000336</t>
  </si>
  <si>
    <t xml:space="preserve">CONGRESSO BRASILEIRO DE REGULAÇÃO </t>
  </si>
  <si>
    <t>CLCO - COORDENADORIA DE CONTRATACAO E LICITAÇ</t>
  </si>
  <si>
    <t>CURSO COMO PLANEJAR , JULGAR E FISCALIZAR A EXECUÇÃO DE OBRAS E SERVIÇOS DE ENGENHARIA</t>
  </si>
  <si>
    <t>BR</t>
  </si>
  <si>
    <t>REUNIÃO DO COMITÊ DE SMS DA ABEGAS</t>
  </si>
  <si>
    <t>LEONARDO GUIMARAES BRITO</t>
  </si>
  <si>
    <t>000358</t>
  </si>
  <si>
    <t>GERENTE ADM E SUPRIMENTO</t>
  </si>
  <si>
    <t>BENCHMARKING  COPERGAS</t>
  </si>
  <si>
    <t>WORKSHOP GESTÃO DE ATIVOS PATRIMONIAS</t>
  </si>
  <si>
    <t>WORKSHOP GESTÃO DE ATIVOS PATRIMONIAS/FORUM DE CONTABILIDADE</t>
  </si>
  <si>
    <t>FORUM DE CONTABILIDADE</t>
  </si>
  <si>
    <t>JOSE LUCIMARIO FERREIRA GONCALVES</t>
  </si>
  <si>
    <t>000282</t>
  </si>
  <si>
    <t>ANALISTA CONTADOR</t>
  </si>
  <si>
    <t>BENCHMARKING  BAHIAGÁS</t>
  </si>
  <si>
    <t>EVELLYN MARIA RAINHA PERDIGAO GOMES</t>
  </si>
  <si>
    <t>SUPERVISORA DE ORÇAMENTO E CONTAS A PAGAR</t>
  </si>
  <si>
    <t>MERCADO DE GÁS, PETRÓLEO FORÚM PLATTS</t>
  </si>
  <si>
    <t>LUIZ FELIPE CARVALHO ARARUNA</t>
  </si>
  <si>
    <t>000330</t>
  </si>
  <si>
    <t>FÓRUM MITSUI RH</t>
  </si>
  <si>
    <t>JULIANA DE OLIVEIRA NERY COUTINHO</t>
  </si>
  <si>
    <t>SUPERVISORA CAPACITAÇÃO E DESEMPENHO DE EQUIPE</t>
  </si>
  <si>
    <t>REUNIÃO ÁBEGAS</t>
  </si>
  <si>
    <t>FABRICIO BOMTEMPO DE OLIVEIRA</t>
  </si>
  <si>
    <t>WORKSHOP NA ANP</t>
  </si>
  <si>
    <t>ANALISTA ADMINISTRADOR</t>
  </si>
  <si>
    <t>ENCONTRO DE AUDITORES INTERNOS DAS COMPANHIAS DISTRIBUIDORAS</t>
  </si>
  <si>
    <t>DAVID DE MIRANDA ARAGAO</t>
  </si>
  <si>
    <t>000287</t>
  </si>
  <si>
    <t>CURSO MAPEAMENTO DE PROCESSOS, MELHORIA E CONTEXTO DA ORGANIZAÇÃO  ISSO</t>
  </si>
  <si>
    <t>ENGENHEIRO MECANICO</t>
  </si>
  <si>
    <t>TESTE DE ACEITAÇÃO EM FÁBRICA (TAF)</t>
  </si>
  <si>
    <t>REUNIÃO CONTRATO SUPRIMENTOS</t>
  </si>
  <si>
    <t>REUNIÃO DO COMITÊ DE INTEGRIDADE - ABEGÁS</t>
  </si>
  <si>
    <t xml:space="preserve">GERENTE COMERCIAL E RESIDENCIAL </t>
  </si>
  <si>
    <t>WORKSHOP PROCESSO  COMERCIAL NA POTIGÁS</t>
  </si>
  <si>
    <t>TECNICO OPERACIONAL SEGURANÇA DO TRABALHO</t>
  </si>
  <si>
    <t>WORKSHOP GESTÃO + ERGONOMIA +GESTÃO DE RISCOS ERGONÔMICOS</t>
  </si>
  <si>
    <t>SUPERVISORA JURIDICA</t>
  </si>
  <si>
    <t>CURSO DA ZENITE</t>
  </si>
  <si>
    <t>COMITE GESTOR GÁS</t>
  </si>
  <si>
    <t>MT</t>
  </si>
  <si>
    <t>CAMPO GRANDE</t>
  </si>
  <si>
    <t>SUPERVISOR DE COMPRAS ADM E DE ESTOQUES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</si>
  <si>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</si>
  <si>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</si>
  <si>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</si>
  <si>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</si>
  <si>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</si>
  <si>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 xml:space="preserve">DTC - DIRETORIA TECNICO - COMERCIAL
</t>
  </si>
  <si>
    <t xml:space="preserve">SUPERVISOR DO SEGMENTO VEICULAR </t>
  </si>
  <si>
    <t>SEGUNDO SEMINÁRIO INTERNACIONAL: MOBILIDADE A GÁS NATURAL</t>
  </si>
  <si>
    <t>TÉCNICO OPERACIONAL DE CONVERSÃO E SUPORTE TÉCNICO</t>
  </si>
  <si>
    <t xml:space="preserve">RENATA BARBOSA DAMASIO
</t>
  </si>
  <si>
    <t>000127</t>
  </si>
  <si>
    <t>ENGENHEIRA DE OPERAÇÕES</t>
  </si>
  <si>
    <t>REPRESENTAÇÃO CEGÁS</t>
  </si>
  <si>
    <t xml:space="preserve">GCRC - GERENCIA DE COMERC. RESID/COMERCIAL
</t>
  </si>
  <si>
    <t>ADRIANA DOS ANJOS DE OLIVEIRA GOMES</t>
  </si>
  <si>
    <t>000315</t>
  </si>
  <si>
    <t>ANALISTA DE MERCADO</t>
  </si>
  <si>
    <t xml:space="preserve">FABRICIO BOMTEMPO DE OLIVEIRA
</t>
  </si>
  <si>
    <t xml:space="preserve">FABIO EDUARDO MORGADO
</t>
  </si>
  <si>
    <t xml:space="preserve">MARCOS ELIAS DOMINGOS DA SILVA
</t>
  </si>
  <si>
    <t>000263</t>
  </si>
  <si>
    <t>CURSO LNT</t>
  </si>
  <si>
    <t>FERNANDO GOMES DE ARRUDA JUNIOR</t>
  </si>
  <si>
    <t>000217</t>
  </si>
  <si>
    <t>TÉCNICO DE EDIFICAÇÕES</t>
  </si>
  <si>
    <t>REUNIÃO SMS DA ABEGÁS</t>
  </si>
  <si>
    <t xml:space="preserve">TESTE DE ACEITAÇÃO </t>
  </si>
  <si>
    <t>WORKSHOP CONTRATO DE SUPRIMENTO</t>
  </si>
  <si>
    <t>TÉCNICO OPERACIONAL</t>
  </si>
  <si>
    <t>COMITÊ DE INTEGRIDADE DE ATIVOS</t>
  </si>
  <si>
    <t>EVENTO GESTÃO ESTRATÉGICA DE DEPARTAMENTO JURÍDICO</t>
  </si>
  <si>
    <t>LEVANTAMENTO DO PROJETO BOLSÃO PETROLINA</t>
  </si>
  <si>
    <t>SERGIO GUTTENBERG LEITE DA CRUZ</t>
  </si>
  <si>
    <t>000159</t>
  </si>
  <si>
    <t>SUPERVISOR DE GEOPROCESSAMENTO</t>
  </si>
  <si>
    <t>REUNIÃO CÔMITE GESTOR GGÁS</t>
  </si>
  <si>
    <t>REUNIÃO PREFEITURA DE PETROLINA</t>
  </si>
  <si>
    <t>ASSINST - ASSESSORIA INSTITUCIONAL</t>
  </si>
  <si>
    <t>ENNIO LINS BENNING</t>
  </si>
  <si>
    <t>000353</t>
  </si>
  <si>
    <t>ASSESSOR INSTITUCIONAL</t>
  </si>
  <si>
    <t>DEFESA ORÇAMENTO 2020 MITSUI</t>
  </si>
  <si>
    <t>FELLIPE FREIRE CIRILO PASSOS</t>
  </si>
  <si>
    <t>000305</t>
  </si>
  <si>
    <t>GESTOR GGAS</t>
  </si>
  <si>
    <t>REUNIÃO COM A NEOENERGIA</t>
  </si>
  <si>
    <t>00236</t>
  </si>
  <si>
    <t>TREINAMENTO</t>
  </si>
  <si>
    <t>FÓRUM SERGIPANO DE ÓLEO E GÁS</t>
  </si>
  <si>
    <t>TREINAMENTO ABNT</t>
  </si>
  <si>
    <t>TAF DE ESTAÇÕES</t>
  </si>
  <si>
    <t xml:space="preserve"> TESTE DE ACEITAÇÃO EM FÁBRICA</t>
  </si>
  <si>
    <t>REUNIÃO CLIENTES</t>
  </si>
  <si>
    <t>ENCONTRO ABEGAS</t>
  </si>
  <si>
    <t>ANDRÉ WILSON DE QUEIROZ CAMPOS</t>
  </si>
  <si>
    <t>PRESIDENTE</t>
  </si>
  <si>
    <t>Reunião Abegás</t>
  </si>
  <si>
    <t>JOÃO BATISTA DE MORAES GUERRA</t>
  </si>
  <si>
    <t>MEMBRO</t>
  </si>
  <si>
    <t>CJUR - COORDENADORIA JURÍDICA</t>
  </si>
  <si>
    <t>Treinamento</t>
  </si>
  <si>
    <t>FABRÍCIO BOMTEMPO DE OLIVEIRA</t>
  </si>
  <si>
    <t>Reunião Petrobrás</t>
  </si>
  <si>
    <t xml:space="preserve">RIO DE JANEIRO </t>
  </si>
  <si>
    <t>FÁBIO EDUARDO MORGADO</t>
  </si>
  <si>
    <t>00296</t>
  </si>
  <si>
    <t>VISITA IMÓVEIS PARA FUTURO ESCRITÓRIO COPERGAS</t>
  </si>
  <si>
    <t>REUNIÃO COM FUTUROS CLIENTES</t>
  </si>
  <si>
    <t>VISITA TÉCNICA PARA LICITAÇÃO</t>
  </si>
  <si>
    <t>FERNANDO FRAGUEIRO ALMOFREY</t>
  </si>
  <si>
    <t>Supervisor do Segmento Comercial</t>
  </si>
  <si>
    <t>LEVANTAMENTO DE VGB'S DOS CLIENTES RESIDENCIAIS E COMERCIAIS</t>
  </si>
  <si>
    <t>LUIZ GONCALVES DA FONSECA NETO</t>
  </si>
  <si>
    <t>Técnico Operacional de Conversão e Suporte Técnico</t>
  </si>
  <si>
    <t>Supervisor do Segmento Veicular</t>
  </si>
  <si>
    <t>PROSPECÇÃO DE CLIENTES GNV</t>
  </si>
  <si>
    <t>SALGUEIRO</t>
  </si>
  <si>
    <t>Supervisor de Obras</t>
  </si>
  <si>
    <t>FISCALIZAÇÃO DE OBRAS</t>
  </si>
  <si>
    <t>DANILO ANTONIO PEREIRA DE MORAIS</t>
  </si>
  <si>
    <t>COODERNADOR DE QSMS</t>
  </si>
  <si>
    <t>PARA ACOMPANHAR CANTEIRO DE OBRAS DA CONTRATADA RR EM PETROLINA</t>
  </si>
  <si>
    <t>TÉCNICO OPERACIONAL DE QSMS</t>
  </si>
  <si>
    <t>TULIO HUGO COSTA VIANNA</t>
  </si>
  <si>
    <t>TÉCNICO DE QSMS</t>
  </si>
  <si>
    <t>REUNIÃO NIAGRO</t>
  </si>
  <si>
    <t>GESTOR DE OBRA</t>
  </si>
  <si>
    <t>VISITA DE OBRA</t>
  </si>
  <si>
    <t>PRE - PRESIDENTE</t>
  </si>
  <si>
    <t>REUNIÃO COM A GOULAR POWER.</t>
  </si>
  <si>
    <t>VISITA OBRA EM PETROLINA</t>
  </si>
  <si>
    <t xml:space="preserve">PE 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</si>
  <si>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</si>
  <si>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</si>
  <si>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</si>
  <si>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</si>
  <si>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</si>
  <si>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</si>
  <si>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</si>
  <si>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Viagem para fiscalização das obras em Petrolina</t>
  </si>
  <si>
    <t>PRE COMISSIONAMENTO RDGN PETROLINA</t>
  </si>
  <si>
    <t>INAUGURAÇÃO REDE LOCAL EM PETROLINA.</t>
  </si>
  <si>
    <t>COORDENADORA SECRETARIA GERAL</t>
  </si>
  <si>
    <t>COORDENADOR JURIDICO</t>
  </si>
  <si>
    <t>TÉCNICO OPERACIONAL DE CONVERSÃO E SUPORTE</t>
  </si>
  <si>
    <t>VILMA OLIVEIRA DE ALBUQUERQUE</t>
  </si>
  <si>
    <t>CARLOS EDUARDO ALBUQUERQUE DOS SANTOS</t>
  </si>
  <si>
    <t>GERENTE DE COMERCIALIZAÇÃO VEICULAR E UNDUSTRIAL</t>
  </si>
  <si>
    <t>VANDECK SOUZA SANTIAGO</t>
  </si>
  <si>
    <t>SUPERVISOR DE DIVULGAÇÃO</t>
  </si>
  <si>
    <t>NADJA ADRIANE BELTRAO VIEIRA BOMPASTOR</t>
  </si>
  <si>
    <t>SECRETARIA EXECUTIVA</t>
  </si>
  <si>
    <t>SUPORTE A OBRA BASE PETROLINA</t>
  </si>
  <si>
    <t>WILSON MALINI RIBEIRO</t>
  </si>
  <si>
    <t>PROSPECÇÃO DE CLIENTES</t>
  </si>
  <si>
    <t>HUGO RAFAEL DE MELO SILVEIRA</t>
  </si>
  <si>
    <t>JOSE OLIVEIRA SANTOS JUNIOR</t>
  </si>
  <si>
    <t>GESTOR DE OPERAÇÕES</t>
  </si>
  <si>
    <t>TECNICO OPERACIONAL DE MEDIÇÃO E AUTOMAÇÃO</t>
  </si>
  <si>
    <t xml:space="preserve">SOLICITAÇÃO GERADA POIS COLABORADOR NECESSITA FICAR MAIS UM DIA EM PETROLINA. </t>
  </si>
  <si>
    <t xml:space="preserve">Benchmarking a posto GNL </t>
  </si>
  <si>
    <t>VITÓRIA DA CONQUISTA</t>
  </si>
  <si>
    <t>346</t>
  </si>
  <si>
    <t>Benchmarking a posto GNL</t>
  </si>
  <si>
    <t>FISCALIZAÇÃO DE OBRAS DA COPERGÁS EM PETROLINA</t>
  </si>
  <si>
    <t xml:space="preserve">ACOMPANHAMENTO DAS OBRAS DE EXPANSÃO </t>
  </si>
  <si>
    <t>EVENTO PETROLINA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</si>
  <si>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</si>
  <si>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</si>
  <si>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</si>
  <si>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</si>
  <si>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</si>
  <si>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</si>
  <si>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</si>
  <si>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</si>
  <si>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</si>
  <si>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</si>
  <si>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</si>
  <si>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TÉCNICO OPERACIONAL DE SEGURANÇA DE TRABALHO</t>
  </si>
  <si>
    <t>GESTOR PLANEJAMENTO E CONTRATO</t>
  </si>
  <si>
    <t>ELIAS AMARAL CORREIA</t>
  </si>
  <si>
    <t>SUPERVISOR DE PROCESSO DE QUALIDADE</t>
  </si>
  <si>
    <t>GESTOR DE PROJETO</t>
  </si>
  <si>
    <t>GERENTE DE ADMINISTRAÇÃO E SUPRIMENTO</t>
  </si>
  <si>
    <t>COORDENADO MEDIÇÃO E ANALISE DE REDE</t>
  </si>
  <si>
    <t>GESTOR DE MEDIÇÃO E CONTROLE</t>
  </si>
  <si>
    <t>THIAGO HERMOGENES DE CASTRO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</si>
  <si>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</si>
  <si>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</si>
  <si>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</si>
  <si>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</si>
  <si>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</si>
  <si>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SEMINÁRIO TÉCNICO ABIOGÁS 2022</t>
  </si>
  <si>
    <t>WORKSHOP TECNICO COMERCIAL DAS DISTRIBUIDORAS DE GÁS</t>
  </si>
  <si>
    <t>ES</t>
  </si>
  <si>
    <t>VITÓRIA</t>
  </si>
  <si>
    <t>SUPERVISORA</t>
  </si>
  <si>
    <t>TREINAMENTO - SINDICÂNCIA E PROCESSO ADMINISTRATIVO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</si>
  <si>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</si>
  <si>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</si>
  <si>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</si>
  <si>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</si>
  <si>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FOZ DO IGUAÇU</t>
  </si>
  <si>
    <t>Gerente de Administração e Suprimentos</t>
  </si>
  <si>
    <t xml:space="preserve">37º congresso brasileiro </t>
  </si>
  <si>
    <t>Engenheira de Operações</t>
  </si>
  <si>
    <t>Gerente de Comercialização Veicular e Industrial</t>
  </si>
  <si>
    <t>Participação de Congresso</t>
  </si>
  <si>
    <t>JACINTO JUNIOR DE SOUSA</t>
  </si>
  <si>
    <t>Assistente de Diretoria</t>
  </si>
  <si>
    <t xml:space="preserve">Evento OIL &amp; GÁS </t>
  </si>
  <si>
    <t>VISITA CEGÁS</t>
  </si>
  <si>
    <t>COORDENADO DE DISTRIBUIÇÃO</t>
  </si>
  <si>
    <t>100° ASSEMBLEIA GERAL DE ASSOCIADOS DA ABEGÁS</t>
  </si>
  <si>
    <t>5° ENCONTRO NACIONAL DAS ESTATAIS</t>
  </si>
  <si>
    <t>REUNIÃO DE APRESENTAÇÃO DO PLANO DE NEGÓCIO 2023-2028 PARA OS ACIONISTAS</t>
  </si>
  <si>
    <t>REUNIÃO COM A PREFEITURA DE PETROLINA SOBRE PROJETO EXPANSÃO COPERGAS</t>
  </si>
  <si>
    <t>REUNIÃO SMS - COMMIT</t>
  </si>
  <si>
    <t>SUPERVISOR DO SEGMENTO COMERCIAL E RESIDENCIAL</t>
  </si>
  <si>
    <t>CURSO NR20</t>
  </si>
  <si>
    <t>9º FORUM DE BIOGÁS - SP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</si>
  <si>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</si>
  <si>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</si>
  <si>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</si>
  <si>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</si>
  <si>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Supervisor de Orçamento e Contas a Pagar</t>
  </si>
  <si>
    <t>1ª Reunião - Comitê Técnico Regulatório Commit &amp; Mitsui</t>
  </si>
  <si>
    <t>Técnico de Operacional de Operações</t>
  </si>
  <si>
    <t>SUBSTITUIÇÃO DE COLABORADOR EM PERÍODO DE FÉRIAS.</t>
  </si>
  <si>
    <t>reunião rio de janeiro GYPSUM</t>
  </si>
  <si>
    <t>SEMINÁRIO GÁS NATURAL - IBP - RIO DE JANEIRO.</t>
  </si>
  <si>
    <t>ASSISTENTE DO DTC</t>
  </si>
  <si>
    <t>SEMINÁRIO GÁS NATURAL IBP - RIO DE JANEIRO</t>
  </si>
  <si>
    <t>ASSISTENTE DO DAF</t>
  </si>
  <si>
    <t>VITOR DE ALMEIDA DINIZ</t>
  </si>
  <si>
    <t>COORDENADOR DE NOVOS NEGOCIOS</t>
  </si>
  <si>
    <t>REUNIÃO  ABEGÁS</t>
  </si>
  <si>
    <t>FELIPE VALENCA DE SOUSA</t>
  </si>
  <si>
    <t>REUNIÃO DIRETORIA COPERGÁS COM DIRETORI AMITSUI E COMMIT- RIO DE JANEIRO E SÃO PAULO</t>
  </si>
  <si>
    <t xml:space="preserve"> Energy Forum - IBP</t>
  </si>
  <si>
    <t>PROJETO BIOMETANO PETROLINA(PE)-JUAZEIRO(BA) COM TRAVESSIA DO RIO SAO FRANCISCO.</t>
  </si>
  <si>
    <t>AGENDA ANUAL DE VISITA AOS BANCOS - SP. REUNIÃO COMMIT</t>
  </si>
  <si>
    <t>GERENTE FINACEIRO</t>
  </si>
  <si>
    <t>Trata-se de viagem para reuniões em SP.</t>
  </si>
  <si>
    <t>CONFI - CONSELHO FISCAL</t>
  </si>
  <si>
    <t>ALYNE VALENTIM MUNIZ</t>
  </si>
  <si>
    <t>CONSELHO FISCAL</t>
  </si>
  <si>
    <t>REUNIÃO DO CONSELHO FISCAL</t>
  </si>
  <si>
    <t>BRUNO DO PRADO CASTILHO</t>
  </si>
  <si>
    <t>Referente viagem para reunião Copergás - EY</t>
  </si>
  <si>
    <t>SEMINARIO LEI DAS ESTATAIS aprovado na lnt</t>
  </si>
  <si>
    <t>VISITAS GYPSUM E NIAGRO</t>
  </si>
  <si>
    <t>Trata-se de viagem REC - SP - REC  a trabalho.</t>
  </si>
  <si>
    <t xml:space="preserve">curso Latam e Brazil Oil&amp;Gás Summit 2023 </t>
  </si>
  <si>
    <t>REUNIÃO PETROLINA</t>
  </si>
  <si>
    <t>REUNIÃO MINISTERIAL</t>
  </si>
  <si>
    <t>TECNICO OPERACIONAL SEGURANÇA DE TRABALHO</t>
  </si>
  <si>
    <t>Treinamento de integração de QSMS para as equipes das contratadas de Caruaru e Garanhuns: Engear, MW e Carplan.</t>
  </si>
  <si>
    <t>SÃO LUIZ</t>
  </si>
  <si>
    <t xml:space="preserve">New Fórum de Energia no Rio </t>
  </si>
  <si>
    <t>SUPERVISOR ORÇAMENTO E CONTAS A PAGAR</t>
  </si>
  <si>
    <t>PARTICIPAR DO RIO PIPELINE -RJ</t>
  </si>
  <si>
    <t>BRUNA TEIXEIRA MACIAS MOURY FERNANDES</t>
  </si>
  <si>
    <t>Workshop ESG Commit</t>
  </si>
  <si>
    <t>MANUELA MARANHAO DE AZEVEDO MELLO</t>
  </si>
  <si>
    <t>ACOMPANHAENTO CHEGADA NAVIO EM FERANDO DE NORONHA</t>
  </si>
  <si>
    <t>FERNANDO DE NORONHA</t>
  </si>
  <si>
    <t>REUNIÃO COM EMPRESA DE ENGENHARIA</t>
  </si>
  <si>
    <t>REUNIÃO FGV</t>
  </si>
  <si>
    <t xml:space="preserve">CONGRESSO ABRAMAN </t>
  </si>
  <si>
    <t>ISABELLE MIRANDA CESAR</t>
  </si>
  <si>
    <t>VISITA AO POLO GESSEIRO</t>
  </si>
  <si>
    <t>APRESENTAÇÃO 1ST PASS</t>
  </si>
  <si>
    <t>ABEGAS</t>
  </si>
  <si>
    <t>VISITA A PETROBRAS</t>
  </si>
  <si>
    <t>MEDIAÇÃO FGV</t>
  </si>
  <si>
    <t>TECNICO OPERACIONAL QSMS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</si>
  <si>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</si>
  <si>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</si>
  <si>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</si>
  <si>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</si>
  <si>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</si>
  <si>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ENGENHEIRA DE QSMS</t>
  </si>
  <si>
    <t>TREINAMENTO DE INTEGRAÇÃO DE CONTRATADAS</t>
  </si>
  <si>
    <t>REFRENTE VIAGEM PARA ABEGÁS EM MACEIÓ.</t>
  </si>
  <si>
    <t>LEGILMO MARCELO FONTES DE OLIVEIRA</t>
  </si>
  <si>
    <t>GERENTE DE TI</t>
  </si>
  <si>
    <t>SICOLOS &amp; COPERGÁS - CONVITE PARA O RPA &amp; IA CONGRESSO BA</t>
  </si>
  <si>
    <t>TECNICO OPERACIONAL DE OPERAÇÃO E SUPORTE DE REDE</t>
  </si>
  <si>
    <t>SUBSTITUIÇÃO EM FÉRIAS DO COLABORADOR HUGO DINIZ, LOTADO EM PETROLINA-PE.</t>
  </si>
  <si>
    <t>REUNIÃO COM O BANCO SAFRA E CAIXA ECONOMICA - SP / XIII CONGRESSO BRASILEIRO DA ABAR - SP</t>
  </si>
  <si>
    <t>SUPERVISOR FINANCEIRO</t>
  </si>
  <si>
    <t>BENCHMARKING SUPRIMENTO DE GN NA BAHIAGÁS</t>
  </si>
  <si>
    <t>CLEITON OLEGARIO DA SILVA</t>
  </si>
  <si>
    <t>SUPERVSIOR DE LOGISTICA</t>
  </si>
  <si>
    <t>VINICIUS MACEDO BEZERRA</t>
  </si>
  <si>
    <t>ENGENHEIRO DE OPERAÇÃO E SUPORTE DE REDE</t>
  </si>
  <si>
    <t>CGCR - COORDENADORIA DE GOV, CONFORM E RISCOS</t>
  </si>
  <si>
    <t>COORDENADOR DE GORVENANÇA, CONFORMIDADE E RISCOS</t>
  </si>
  <si>
    <t>VIAGEM PARA EXPOGESSO</t>
  </si>
  <si>
    <t>JUAZEIRO DO NORTE</t>
  </si>
  <si>
    <t>TIAGO LEVI DINIZ LIMA</t>
  </si>
  <si>
    <t>ASSISTENTE DO PRE</t>
  </si>
  <si>
    <t>TECNICO OPERACIONAL DE QSMS</t>
  </si>
  <si>
    <t>TREINAMENTO E INSPEÇÃO DE OBRA DA UNIFORTE (CONTRATO DTC 028/23).</t>
  </si>
  <si>
    <t>TREINAMENTO AVALIAÇÃO DOS 15 COMPROMISSOS DE SMS</t>
  </si>
  <si>
    <t>SUPERVISOR DE SEGMENTO INDUSTRIAL</t>
  </si>
  <si>
    <t>INTERNACIONAL</t>
  </si>
  <si>
    <t>ORLANDO</t>
  </si>
  <si>
    <t>GERENTE DE RH</t>
  </si>
  <si>
    <t xml:space="preserve">10º FÓRUM DE RH </t>
  </si>
  <si>
    <t>REGULATÓRIO - COMMIT</t>
  </si>
  <si>
    <t>PARTICIPAR DO  EVENTO - AGENDA TEMÁTICA XII SEMINÁRIO INTERNACIONAL FROTAS &amp; FRETES VERDES 2023.</t>
  </si>
  <si>
    <t>GIS DAY GÁS 2023</t>
  </si>
  <si>
    <t>ARARIPINA</t>
  </si>
  <si>
    <t xml:space="preserve">XII SEMINÁRIO FROTAS &amp; FRETES VERDES </t>
  </si>
  <si>
    <t>EVENTO REGULATÓRIO COMMIT/MITSUI - QUANTUM</t>
  </si>
  <si>
    <t>Avaliação dos 15 Compromissos de SMS</t>
  </si>
  <si>
    <t>PARTICIPAR DO  Evento - Agenda Temática XII Seminário Internacional Frotas &amp; Fretes Verdes 2023.</t>
  </si>
  <si>
    <t>GARTNER - IT Symposium - Xpo.2023 - October 16 - 19, 2023.</t>
  </si>
  <si>
    <t>Evento Regulatório Commit/Mitsui - Quantum</t>
  </si>
  <si>
    <t>ASSEMBLEIA GERAL E CONSELHO DE ADMINISTRAÇÃO - ABEGÁS.</t>
  </si>
  <si>
    <t>JOSÉ EUDES LIMA UCHOA</t>
  </si>
  <si>
    <t>COORDENADOR DA SECRETARIA GERAL</t>
  </si>
  <si>
    <t xml:space="preserve">Jantar de Confraternização dos Associados, a convite da COMMIT GÁS </t>
  </si>
  <si>
    <t>VISITA NA SCANIA E MWM</t>
  </si>
  <si>
    <t>REUNIÃO NORGÁS.</t>
  </si>
  <si>
    <t>Reunião GT Contabilidade</t>
  </si>
  <si>
    <t>VIAGEM FISCALIZAÇÃO DE OBRAS EM PETROLINA</t>
  </si>
  <si>
    <t>SUPERVISOR DO SEGMENTO INDUSTRIAL</t>
  </si>
  <si>
    <t>VISITA A CLIENTES</t>
  </si>
  <si>
    <t>ASSISTENTE 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</si>
</sst>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  <numFmt numFmtId="170" formatCode="_-[$R$-416]\ * #,##0.00_-;\-[$R$-416]\ * #,##0.00_-;_-[$R$-416]\ * &quot;-&quot;??_-;_-@_-"/>
  </numFmts>
  <fonts count="15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2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7" fontId="6" fillId="0" borderId="0" applyBorder="0" applyProtection="0"/>
    <xf numFmtId="0" fontId="3" fillId="0" borderId="0"/>
    <xf numFmtId="164" fontId="4" fillId="0" borderId="0" applyFont="0" applyFill="0" applyBorder="0" applyAlignment="0" applyProtection="0"/>
    <xf numFmtId="0" fontId="2" fillId="0" borderId="0"/>
  </cellStyleXfs>
  <cellXfs count="186">
    <xf numFmtId="0" fontId="0" fillId="0" borderId="0" xfId="0"/>
    <xf numFmtId="0" fontId="0" fillId="3" borderId="0" xfId="0" applyFill="1"/>
    <xf numFmtId="0" fontId="12" fillId="3" borderId="0" xfId="0" applyFont="1" applyFill="1"/>
    <xf numFmtId="0" fontId="13" fillId="3" borderId="0" xfId="0" applyFont="1" applyFill="1"/>
    <xf numFmtId="0" fontId="13" fillId="0" borderId="0" xfId="0" applyFont="1"/>
    <xf numFmtId="0" fontId="10" fillId="3" borderId="0" xfId="0" applyFont="1" applyFill="1"/>
    <xf numFmtId="0" fontId="8" fillId="3" borderId="0" xfId="0" applyFont="1" applyFill="1"/>
    <xf numFmtId="0" fontId="11" fillId="3" borderId="0" xfId="0" applyFont="1" applyFill="1"/>
    <xf numFmtId="166" fontId="7" fillId="0" borderId="1" xfId="0" applyNumberFormat="1" applyFont="1" applyBorder="1" applyAlignment="1">
      <alignment horizontal="right"/>
    </xf>
    <xf numFmtId="0" fontId="0" fillId="5" borderId="0" xfId="0" applyFill="1"/>
    <xf numFmtId="0" fontId="9" fillId="5" borderId="0" xfId="0" applyFont="1" applyFill="1" applyAlignment="1">
      <alignment horizontal="center"/>
    </xf>
    <xf numFmtId="165" fontId="9" fillId="5" borderId="0" xfId="0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 wrapText="1"/>
    </xf>
    <xf numFmtId="165" fontId="14" fillId="3" borderId="1" xfId="0" applyNumberFormat="1" applyFont="1" applyFill="1" applyBorder="1" applyAlignment="1">
      <alignment horizontal="center" vertical="top"/>
    </xf>
    <xf numFmtId="14" fontId="14" fillId="3" borderId="1" xfId="0" applyNumberFormat="1" applyFont="1" applyFill="1" applyBorder="1" applyAlignment="1">
      <alignment horizontal="center" vertical="top"/>
    </xf>
    <xf numFmtId="14" fontId="14" fillId="3" borderId="2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168" fontId="1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/>
    </xf>
    <xf numFmtId="49" fontId="14" fillId="6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5" fontId="14" fillId="6" borderId="1" xfId="0" applyNumberFormat="1" applyFont="1" applyFill="1" applyBorder="1" applyAlignment="1">
      <alignment horizontal="center" vertical="center"/>
    </xf>
    <xf numFmtId="168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 wrapText="1"/>
    </xf>
    <xf numFmtId="14" fontId="14" fillId="6" borderId="4" xfId="0" applyNumberFormat="1" applyFont="1" applyFill="1" applyBorder="1" applyAlignment="1">
      <alignment horizontal="center" vertical="center"/>
    </xf>
    <xf numFmtId="165" fontId="14" fillId="6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165" fontId="1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4" fillId="6" borderId="3" xfId="0" applyNumberFormat="1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5" fontId="14" fillId="6" borderId="2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164" fontId="14" fillId="6" borderId="1" xfId="7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4" fontId="14" fillId="6" borderId="5" xfId="0" applyNumberFormat="1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 wrapText="1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2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8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49" fontId="14" fillId="6" borderId="13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14" fontId="14" fillId="6" borderId="1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14" fillId="6" borderId="1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4" fontId="0" fillId="0" borderId="0" xfId="0" applyNumberFormat="1"/>
    <xf numFmtId="14" fontId="0" fillId="0" borderId="3" xfId="0" applyNumberFormat="1" applyBorder="1" applyAlignment="1">
      <alignment horizontal="center"/>
    </xf>
    <xf numFmtId="16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/>
    <xf numFmtId="164" fontId="0" fillId="0" borderId="3" xfId="7" applyFont="1" applyBorder="1" applyAlignment="1">
      <alignment horizontal="center" vertical="center"/>
    </xf>
    <xf numFmtId="0" fontId="0" fillId="9" borderId="0" xfId="0" applyFill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5" fontId="9" fillId="5" borderId="1" xfId="0" applyNumberFormat="1" applyFont="1" applyFill="1" applyBorder="1" applyAlignment="1">
      <alignment horizontal="center"/>
    </xf>
    <xf numFmtId="165" fontId="14" fillId="6" borderId="3" xfId="0" applyNumberFormat="1" applyFont="1" applyFill="1" applyBorder="1" applyAlignment="1">
      <alignment horizontal="center" vertical="center"/>
    </xf>
    <xf numFmtId="165" fontId="14" fillId="6" borderId="9" xfId="0" applyNumberFormat="1" applyFont="1" applyFill="1" applyBorder="1" applyAlignment="1">
      <alignment horizontal="center" vertical="center"/>
    </xf>
    <xf numFmtId="165" fontId="14" fillId="6" borderId="10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top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49" fontId="14" fillId="6" borderId="6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0" fontId="13" fillId="7" borderId="6" xfId="0" applyFont="1" applyFill="1" applyBorder="1" applyAlignment="1">
      <alignment horizontal="center" vertical="top"/>
    </xf>
    <xf numFmtId="165" fontId="14" fillId="6" borderId="5" xfId="0" applyNumberFormat="1" applyFont="1" applyFill="1" applyBorder="1" applyAlignment="1">
      <alignment horizontal="center" vertical="center"/>
    </xf>
    <xf numFmtId="165" fontId="14" fillId="6" borderId="6" xfId="0" applyNumberFormat="1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168" fontId="14" fillId="6" borderId="6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14" fontId="14" fillId="6" borderId="6" xfId="0" applyNumberFormat="1" applyFont="1" applyFill="1" applyBorder="1" applyAlignment="1">
      <alignment horizontal="center" vertical="center"/>
    </xf>
    <xf numFmtId="14" fontId="14" fillId="6" borderId="3" xfId="0" applyNumberFormat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168" fontId="14" fillId="6" borderId="16" xfId="0" applyNumberFormat="1" applyFont="1" applyFill="1" applyBorder="1" applyAlignment="1">
      <alignment horizontal="center" vertical="center"/>
    </xf>
    <xf numFmtId="165" fontId="14" fillId="6" borderId="12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5" fontId="14" fillId="6" borderId="18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6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4" fontId="14" fillId="6" borderId="15" xfId="7" applyFont="1" applyFill="1" applyBorder="1" applyAlignment="1">
      <alignment horizontal="center" vertical="center" wrapText="1"/>
    </xf>
    <xf numFmtId="164" fontId="14" fillId="6" borderId="16" xfId="7" applyFont="1" applyFill="1" applyBorder="1" applyAlignment="1">
      <alignment horizontal="center" vertical="center" wrapText="1"/>
    </xf>
    <xf numFmtId="164" fontId="14" fillId="6" borderId="20" xfId="7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64" fontId="14" fillId="6" borderId="12" xfId="7" applyFont="1" applyFill="1" applyBorder="1" applyAlignment="1">
      <alignment horizontal="center" vertical="center" wrapText="1"/>
    </xf>
    <xf numFmtId="164" fontId="14" fillId="6" borderId="6" xfId="7" applyFont="1" applyFill="1" applyBorder="1" applyAlignment="1">
      <alignment horizontal="center" vertical="center" wrapText="1"/>
    </xf>
    <xf numFmtId="164" fontId="14" fillId="6" borderId="17" xfId="7" applyFont="1" applyFill="1" applyBorder="1" applyAlignment="1">
      <alignment horizontal="center" vertical="center" wrapText="1"/>
    </xf>
    <xf numFmtId="164" fontId="14" fillId="6" borderId="18" xfId="7" applyFont="1" applyFill="1" applyBorder="1" applyAlignment="1">
      <alignment horizontal="center" vertical="center" wrapText="1"/>
    </xf>
    <xf numFmtId="164" fontId="14" fillId="6" borderId="21" xfId="7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165" fontId="9" fillId="5" borderId="5" xfId="0" applyNumberFormat="1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164" fontId="14" fillId="6" borderId="13" xfId="7" applyFont="1" applyFill="1" applyBorder="1" applyAlignment="1">
      <alignment horizontal="center" vertical="center" wrapText="1"/>
    </xf>
    <xf numFmtId="164" fontId="14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3" xfId="7" applyFont="1" applyBorder="1" applyAlignment="1">
      <alignment horizontal="center" vertical="center"/>
    </xf>
    <xf numFmtId="164" fontId="0" fillId="0" borderId="13" xfId="7" applyFont="1" applyBorder="1" applyAlignment="1">
      <alignment horizontal="center" vertical="center"/>
    </xf>
    <xf numFmtId="164" fontId="0" fillId="0" borderId="14" xfId="7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6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4" fillId="6" borderId="19" xfId="7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0" borderId="1" xfId="0" applyFont="1" applyBorder="1" applyAlignment="1"/>
    <xf numFmtId="0" fontId="1" fillId="0" borderId="13" xfId="0" applyFont="1" applyBorder="1" applyAlignment="1">
      <alignment horizontal="center" vertical="center"/>
    </xf>
    <xf numFmtId="170" fontId="1" fillId="0" borderId="13" xfId="0" applyNumberFormat="1" applyFont="1" applyBorder="1" applyAlignment="1">
      <alignment horizontal="center" vertical="center"/>
    </xf>
    <xf numFmtId="170" fontId="1" fillId="0" borderId="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42917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19" t="s">
        <v>31</v>
      </c>
      <c r="B10" s="19" t="s">
        <v>32</v>
      </c>
      <c r="C10" s="19" t="s">
        <v>33</v>
      </c>
      <c r="D10" s="19">
        <v>66</v>
      </c>
      <c r="E10" s="20" t="s">
        <v>34</v>
      </c>
      <c r="F10" s="20" t="s">
        <v>35</v>
      </c>
      <c r="G10" s="21" t="s">
        <v>36</v>
      </c>
      <c r="H10" s="19" t="s">
        <v>37</v>
      </c>
      <c r="I10" s="19" t="s">
        <v>38</v>
      </c>
      <c r="J10" s="19" t="s">
        <v>39</v>
      </c>
      <c r="K10" s="22" t="s">
        <v>40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>
      <c r="A11" s="12" t="s">
        <v>31</v>
      </c>
      <c r="B11" s="12" t="s">
        <v>32</v>
      </c>
      <c r="C11" s="12" t="s">
        <v>41</v>
      </c>
      <c r="D11" s="19">
        <v>129</v>
      </c>
      <c r="E11" s="14" t="s">
        <v>42</v>
      </c>
      <c r="F11" s="14" t="s">
        <v>43</v>
      </c>
      <c r="G11" s="21" t="s">
        <v>36</v>
      </c>
      <c r="H11" s="19" t="s">
        <v>37</v>
      </c>
      <c r="I11" s="12" t="s">
        <v>38</v>
      </c>
      <c r="J11" s="19" t="s">
        <v>39</v>
      </c>
      <c r="K11" s="22" t="s">
        <v>40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19">
        <v>232</v>
      </c>
      <c r="E12" s="14" t="s">
        <v>47</v>
      </c>
      <c r="F12" s="25" t="s">
        <v>48</v>
      </c>
      <c r="G12" s="21" t="s">
        <v>36</v>
      </c>
      <c r="H12" s="19" t="s">
        <v>37</v>
      </c>
      <c r="I12" s="12" t="s">
        <v>38</v>
      </c>
      <c r="J12" s="19" t="s">
        <v>39</v>
      </c>
      <c r="K12" s="22" t="s">
        <v>40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>
      <c r="A13" s="12" t="s">
        <v>31</v>
      </c>
      <c r="B13" s="12" t="s">
        <v>31</v>
      </c>
      <c r="C13" s="12" t="s">
        <v>49</v>
      </c>
      <c r="D13" s="12"/>
      <c r="E13" s="14" t="s">
        <v>50</v>
      </c>
      <c r="F13" s="14" t="s">
        <v>51</v>
      </c>
      <c r="G13" s="21" t="s">
        <v>36</v>
      </c>
      <c r="H13" s="19" t="s">
        <v>37</v>
      </c>
      <c r="I13" s="12" t="s">
        <v>38</v>
      </c>
      <c r="J13" s="19" t="s">
        <v>39</v>
      </c>
      <c r="K13" s="22" t="s">
        <v>40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>
      <c r="A14" s="12" t="s">
        <v>52</v>
      </c>
      <c r="B14" s="12" t="s">
        <v>53</v>
      </c>
      <c r="C14" s="12" t="s">
        <v>54</v>
      </c>
      <c r="D14" s="12">
        <v>56</v>
      </c>
      <c r="E14" s="14" t="s">
        <v>55</v>
      </c>
      <c r="F14" s="14" t="s">
        <v>51</v>
      </c>
      <c r="G14" s="21" t="s">
        <v>36</v>
      </c>
      <c r="H14" s="19" t="s">
        <v>37</v>
      </c>
      <c r="I14" s="12" t="s">
        <v>38</v>
      </c>
      <c r="J14" s="19" t="s">
        <v>39</v>
      </c>
      <c r="K14" s="22" t="s">
        <v>40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>
      <c r="A15" s="12" t="s">
        <v>31</v>
      </c>
      <c r="B15" s="12" t="s">
        <v>31</v>
      </c>
      <c r="C15" s="12" t="s">
        <v>49</v>
      </c>
      <c r="D15" s="12"/>
      <c r="E15" s="14" t="s">
        <v>50</v>
      </c>
      <c r="F15" s="14" t="s">
        <v>56</v>
      </c>
      <c r="G15" s="21" t="s">
        <v>36</v>
      </c>
      <c r="H15" s="19" t="s">
        <v>37</v>
      </c>
      <c r="I15" s="12" t="s">
        <v>38</v>
      </c>
      <c r="J15" s="19" t="s">
        <v>39</v>
      </c>
      <c r="K15" s="22" t="s">
        <v>40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43252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245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>
      <c r="A11" s="34" t="s">
        <v>228</v>
      </c>
      <c r="B11" s="34" t="s">
        <v>229</v>
      </c>
      <c r="C11" s="27" t="s">
        <v>246</v>
      </c>
      <c r="D11" s="29" t="s">
        <v>247</v>
      </c>
      <c r="E11" s="34" t="s">
        <v>248</v>
      </c>
      <c r="F11" s="34" t="s">
        <v>249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>
      <c r="A12" s="34" t="s">
        <v>228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250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251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252</v>
      </c>
      <c r="E14" s="20" t="s">
        <v>87</v>
      </c>
      <c r="F14" s="34" t="s">
        <v>250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>
      <c r="A15" s="34" t="s">
        <v>228</v>
      </c>
      <c r="B15" s="34" t="s">
        <v>228</v>
      </c>
      <c r="C15" s="27" t="s">
        <v>86</v>
      </c>
      <c r="D15" s="29" t="s">
        <v>252</v>
      </c>
      <c r="E15" s="20" t="s">
        <v>87</v>
      </c>
      <c r="F15" s="34" t="s">
        <v>251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>
      <c r="A16" s="34" t="s">
        <v>253</v>
      </c>
      <c r="B16" s="34" t="s">
        <v>253</v>
      </c>
      <c r="C16" s="27" t="s">
        <v>223</v>
      </c>
      <c r="D16" s="29" t="s">
        <v>252</v>
      </c>
      <c r="E16" s="20" t="s">
        <v>50</v>
      </c>
      <c r="F16" s="34" t="s">
        <v>250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>
      <c r="A17" s="34" t="s">
        <v>228</v>
      </c>
      <c r="B17" s="34" t="s">
        <v>241</v>
      </c>
      <c r="C17" s="27" t="s">
        <v>130</v>
      </c>
      <c r="D17" s="29" t="s">
        <v>131</v>
      </c>
      <c r="E17" s="34" t="s">
        <v>132</v>
      </c>
      <c r="F17" s="34" t="s">
        <v>254</v>
      </c>
      <c r="G17" s="30" t="s">
        <v>36</v>
      </c>
      <c r="H17" s="27" t="s">
        <v>37</v>
      </c>
      <c r="I17" s="27" t="s">
        <v>38</v>
      </c>
      <c r="J17" s="27" t="s">
        <v>62</v>
      </c>
      <c r="K17" s="31" t="s">
        <v>63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>
      <c r="A18" s="34" t="s">
        <v>253</v>
      </c>
      <c r="B18" s="34" t="s">
        <v>234</v>
      </c>
      <c r="C18" s="27" t="s">
        <v>255</v>
      </c>
      <c r="D18" s="29" t="s">
        <v>256</v>
      </c>
      <c r="E18" s="20" t="s">
        <v>257</v>
      </c>
      <c r="F18" s="34" t="s">
        <v>258</v>
      </c>
      <c r="G18" s="30" t="s">
        <v>36</v>
      </c>
      <c r="H18" s="27" t="s">
        <v>37</v>
      </c>
      <c r="I18" s="27" t="s">
        <v>38</v>
      </c>
      <c r="J18" s="27" t="s">
        <v>62</v>
      </c>
      <c r="K18" s="31" t="s">
        <v>63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>
      <c r="A19" s="34" t="s">
        <v>253</v>
      </c>
      <c r="B19" s="34" t="s">
        <v>259</v>
      </c>
      <c r="C19" s="27" t="s">
        <v>192</v>
      </c>
      <c r="D19" s="29" t="s">
        <v>193</v>
      </c>
      <c r="E19" s="20" t="s">
        <v>257</v>
      </c>
      <c r="F19" s="34" t="s">
        <v>260</v>
      </c>
      <c r="G19" s="30" t="s">
        <v>36</v>
      </c>
      <c r="H19" s="27" t="s">
        <v>37</v>
      </c>
      <c r="I19" s="27" t="s">
        <v>38</v>
      </c>
      <c r="J19" s="27" t="s">
        <v>37</v>
      </c>
      <c r="K19" s="27" t="s">
        <v>261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262</v>
      </c>
    </row>
    <row r="20" spans="1:24" ht="38.25">
      <c r="A20" s="34" t="s">
        <v>253</v>
      </c>
      <c r="B20" s="34" t="s">
        <v>259</v>
      </c>
      <c r="C20" s="27" t="s">
        <v>263</v>
      </c>
      <c r="D20" s="29" t="s">
        <v>264</v>
      </c>
      <c r="E20" s="20" t="s">
        <v>265</v>
      </c>
      <c r="F20" s="34" t="s">
        <v>260</v>
      </c>
      <c r="G20" s="30" t="s">
        <v>36</v>
      </c>
      <c r="H20" s="27" t="s">
        <v>37</v>
      </c>
      <c r="I20" s="27" t="s">
        <v>38</v>
      </c>
      <c r="J20" s="27" t="s">
        <v>37</v>
      </c>
      <c r="K20" s="27" t="s">
        <v>261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262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43282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47.25" customHeight="1">
      <c r="A10" s="34" t="s">
        <v>228</v>
      </c>
      <c r="B10" s="34" t="s">
        <v>266</v>
      </c>
      <c r="C10" s="34" t="s">
        <v>267</v>
      </c>
      <c r="D10" s="29" t="s">
        <v>145</v>
      </c>
      <c r="E10" s="20" t="s">
        <v>146</v>
      </c>
      <c r="F10" s="34" t="s">
        <v>268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>
      <c r="A11" s="34" t="s">
        <v>228</v>
      </c>
      <c r="B11" s="34" t="s">
        <v>266</v>
      </c>
      <c r="C11" s="27" t="s">
        <v>158</v>
      </c>
      <c r="D11" s="29" t="s">
        <v>159</v>
      </c>
      <c r="E11" s="34" t="s">
        <v>269</v>
      </c>
      <c r="F11" s="34" t="s">
        <v>268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>
      <c r="A12" s="34" t="s">
        <v>253</v>
      </c>
      <c r="B12" s="34" t="s">
        <v>212</v>
      </c>
      <c r="C12" s="27" t="s">
        <v>270</v>
      </c>
      <c r="D12" s="29" t="s">
        <v>168</v>
      </c>
      <c r="E12" s="20" t="s">
        <v>271</v>
      </c>
      <c r="F12" s="34" t="s">
        <v>268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>
      <c r="A13" s="34" t="s">
        <v>272</v>
      </c>
      <c r="B13" s="34" t="s">
        <v>273</v>
      </c>
      <c r="C13" s="27" t="s">
        <v>195</v>
      </c>
      <c r="D13" s="29" t="s">
        <v>196</v>
      </c>
      <c r="E13" s="20" t="s">
        <v>197</v>
      </c>
      <c r="F13" s="34" t="s">
        <v>274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>
      <c r="A14" s="34" t="s">
        <v>272</v>
      </c>
      <c r="B14" s="34" t="s">
        <v>226</v>
      </c>
      <c r="C14" s="27" t="s">
        <v>46</v>
      </c>
      <c r="D14" s="29" t="s">
        <v>69</v>
      </c>
      <c r="E14" s="20" t="s">
        <v>47</v>
      </c>
      <c r="F14" s="34" t="s">
        <v>275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>
      <c r="A15" s="34" t="s">
        <v>228</v>
      </c>
      <c r="B15" s="34" t="s">
        <v>266</v>
      </c>
      <c r="C15" s="27" t="s">
        <v>267</v>
      </c>
      <c r="D15" s="29" t="s">
        <v>145</v>
      </c>
      <c r="E15" s="20" t="s">
        <v>146</v>
      </c>
      <c r="F15" s="34" t="s">
        <v>276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>
      <c r="A16" s="34" t="s">
        <v>228</v>
      </c>
      <c r="B16" s="34" t="s">
        <v>221</v>
      </c>
      <c r="C16" s="27" t="s">
        <v>277</v>
      </c>
      <c r="D16" s="29" t="s">
        <v>278</v>
      </c>
      <c r="E16" s="20" t="s">
        <v>146</v>
      </c>
      <c r="F16" s="34" t="s">
        <v>276</v>
      </c>
      <c r="G16" s="30" t="s">
        <v>36</v>
      </c>
      <c r="H16" s="27" t="s">
        <v>37</v>
      </c>
      <c r="I16" s="27" t="s">
        <v>38</v>
      </c>
      <c r="J16" s="27" t="s">
        <v>62</v>
      </c>
      <c r="K16" s="31" t="s">
        <v>63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268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>
      <c r="A18" s="34" t="s">
        <v>228</v>
      </c>
      <c r="B18" s="34" t="s">
        <v>228</v>
      </c>
      <c r="C18" s="27" t="s">
        <v>86</v>
      </c>
      <c r="D18" s="29" t="s">
        <v>107</v>
      </c>
      <c r="E18" s="20" t="s">
        <v>87</v>
      </c>
      <c r="F18" s="34" t="s">
        <v>279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>
      <c r="A19" s="34" t="s">
        <v>228</v>
      </c>
      <c r="B19" s="34" t="s">
        <v>221</v>
      </c>
      <c r="C19" s="27" t="s">
        <v>54</v>
      </c>
      <c r="D19" s="29" t="s">
        <v>88</v>
      </c>
      <c r="E19" s="20" t="s">
        <v>55</v>
      </c>
      <c r="F19" s="34" t="s">
        <v>279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279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>
      <c r="A21" s="34" t="s">
        <v>253</v>
      </c>
      <c r="B21" s="34" t="s">
        <v>253</v>
      </c>
      <c r="C21" s="27" t="s">
        <v>223</v>
      </c>
      <c r="D21" s="29" t="s">
        <v>252</v>
      </c>
      <c r="E21" s="20" t="s">
        <v>50</v>
      </c>
      <c r="F21" s="34" t="s">
        <v>279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>
      <c r="A22" s="114" t="s">
        <v>272</v>
      </c>
      <c r="B22" s="114" t="s">
        <v>272</v>
      </c>
      <c r="C22" s="116" t="s">
        <v>79</v>
      </c>
      <c r="D22" s="110" t="s">
        <v>107</v>
      </c>
      <c r="E22" s="112" t="s">
        <v>80</v>
      </c>
      <c r="F22" s="114" t="s">
        <v>280</v>
      </c>
      <c r="G22" s="30" t="s">
        <v>36</v>
      </c>
      <c r="H22" s="27" t="s">
        <v>39</v>
      </c>
      <c r="I22" s="27" t="s">
        <v>40</v>
      </c>
      <c r="J22" s="27" t="s">
        <v>281</v>
      </c>
      <c r="K22" s="31" t="s">
        <v>110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06">
        <v>0</v>
      </c>
      <c r="R22" s="102">
        <v>0</v>
      </c>
      <c r="S22" s="108">
        <v>0</v>
      </c>
      <c r="T22" s="102">
        <v>0</v>
      </c>
      <c r="U22" s="109">
        <f t="shared" si="1"/>
        <v>0</v>
      </c>
      <c r="V22" s="102">
        <f>P22+P23</f>
        <v>1406.06</v>
      </c>
      <c r="W22" s="103">
        <f t="shared" si="3"/>
        <v>1406.06</v>
      </c>
      <c r="X22" s="105"/>
    </row>
    <row r="23" spans="1:24" ht="38.25" customHeight="1">
      <c r="A23" s="115"/>
      <c r="B23" s="115"/>
      <c r="C23" s="117"/>
      <c r="D23" s="111"/>
      <c r="E23" s="113"/>
      <c r="F23" s="115"/>
      <c r="G23" s="30" t="s">
        <v>36</v>
      </c>
      <c r="H23" s="27" t="s">
        <v>281</v>
      </c>
      <c r="I23" s="27" t="s">
        <v>110</v>
      </c>
      <c r="J23" s="27" t="s">
        <v>37</v>
      </c>
      <c r="K23" s="31" t="s">
        <v>38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07"/>
      <c r="R23" s="102"/>
      <c r="S23" s="108"/>
      <c r="T23" s="102"/>
      <c r="U23" s="109"/>
      <c r="V23" s="102"/>
      <c r="W23" s="104"/>
      <c r="X23" s="105"/>
    </row>
    <row r="24" spans="1:24" ht="43.5" customHeight="1">
      <c r="A24" s="34" t="s">
        <v>253</v>
      </c>
      <c r="B24" s="34" t="s">
        <v>253</v>
      </c>
      <c r="C24" s="27" t="s">
        <v>223</v>
      </c>
      <c r="D24" s="29" t="s">
        <v>252</v>
      </c>
      <c r="E24" s="20" t="s">
        <v>50</v>
      </c>
      <c r="F24" s="34" t="s">
        <v>280</v>
      </c>
      <c r="G24" s="30" t="s">
        <v>36</v>
      </c>
      <c r="H24" s="27" t="s">
        <v>37</v>
      </c>
      <c r="I24" s="27" t="s">
        <v>38</v>
      </c>
      <c r="J24" s="27" t="s">
        <v>281</v>
      </c>
      <c r="K24" s="31" t="s">
        <v>110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43313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38.25">
      <c r="A10" s="34" t="s">
        <v>272</v>
      </c>
      <c r="B10" s="34" t="s">
        <v>273</v>
      </c>
      <c r="C10" s="34" t="s">
        <v>282</v>
      </c>
      <c r="D10" s="29" t="s">
        <v>283</v>
      </c>
      <c r="E10" s="20" t="s">
        <v>203</v>
      </c>
      <c r="F10" s="34" t="s">
        <v>284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43325</v>
      </c>
      <c r="M10" s="35" t="s">
        <v>285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>
      <c r="A11" s="34" t="s">
        <v>228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286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>
      <c r="A12" s="34" t="s">
        <v>253</v>
      </c>
      <c r="B12" s="34" t="s">
        <v>253</v>
      </c>
      <c r="C12" s="27" t="s">
        <v>223</v>
      </c>
      <c r="D12" s="29" t="s">
        <v>252</v>
      </c>
      <c r="E12" s="20" t="s">
        <v>50</v>
      </c>
      <c r="F12" s="34" t="s">
        <v>287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>
      <c r="A13" s="34" t="s">
        <v>253</v>
      </c>
      <c r="B13" s="34" t="s">
        <v>288</v>
      </c>
      <c r="C13" s="27" t="s">
        <v>289</v>
      </c>
      <c r="D13" s="29" t="s">
        <v>290</v>
      </c>
      <c r="E13" s="20" t="s">
        <v>98</v>
      </c>
      <c r="F13" s="34" t="s">
        <v>291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>
      <c r="A14" s="34" t="s">
        <v>228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292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>
      <c r="A15" s="34" t="s">
        <v>272</v>
      </c>
      <c r="B15" s="34" t="s">
        <v>272</v>
      </c>
      <c r="C15" s="27" t="s">
        <v>79</v>
      </c>
      <c r="D15" s="29" t="s">
        <v>107</v>
      </c>
      <c r="E15" s="20" t="s">
        <v>80</v>
      </c>
      <c r="F15" s="34" t="s">
        <v>292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>
      <c r="A16" s="34" t="s">
        <v>272</v>
      </c>
      <c r="B16" s="34" t="s">
        <v>272</v>
      </c>
      <c r="C16" s="27" t="s">
        <v>76</v>
      </c>
      <c r="D16" s="29" t="s">
        <v>107</v>
      </c>
      <c r="E16" s="20" t="s">
        <v>78</v>
      </c>
      <c r="F16" s="34" t="s">
        <v>292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>
      <c r="A17" s="34" t="s">
        <v>272</v>
      </c>
      <c r="B17" s="34" t="s">
        <v>240</v>
      </c>
      <c r="C17" s="27" t="s">
        <v>140</v>
      </c>
      <c r="D17" s="29" t="s">
        <v>141</v>
      </c>
      <c r="E17" s="20" t="s">
        <v>293</v>
      </c>
      <c r="F17" s="34" t="s">
        <v>292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>
      <c r="A18" s="34" t="s">
        <v>272</v>
      </c>
      <c r="B18" s="34" t="s">
        <v>240</v>
      </c>
      <c r="C18" s="27" t="s">
        <v>137</v>
      </c>
      <c r="D18" s="29" t="s">
        <v>138</v>
      </c>
      <c r="E18" s="20" t="s">
        <v>294</v>
      </c>
      <c r="F18" s="34" t="s">
        <v>292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>
      <c r="A19" s="34" t="s">
        <v>272</v>
      </c>
      <c r="B19" s="34" t="s">
        <v>295</v>
      </c>
      <c r="C19" s="27" t="s">
        <v>296</v>
      </c>
      <c r="D19" s="29" t="s">
        <v>297</v>
      </c>
      <c r="E19" s="20" t="s">
        <v>298</v>
      </c>
      <c r="F19" s="34" t="s">
        <v>292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>
      <c r="A20" s="34" t="s">
        <v>272</v>
      </c>
      <c r="B20" s="34" t="s">
        <v>295</v>
      </c>
      <c r="C20" s="27" t="s">
        <v>299</v>
      </c>
      <c r="D20" s="29" t="s">
        <v>300</v>
      </c>
      <c r="E20" s="20" t="s">
        <v>301</v>
      </c>
      <c r="F20" s="34" t="s">
        <v>292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>
      <c r="A21" s="34" t="s">
        <v>228</v>
      </c>
      <c r="B21" s="34" t="s">
        <v>228</v>
      </c>
      <c r="C21" s="27" t="s">
        <v>86</v>
      </c>
      <c r="D21" s="29" t="s">
        <v>107</v>
      </c>
      <c r="E21" s="20" t="s">
        <v>87</v>
      </c>
      <c r="F21" s="34" t="s">
        <v>292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>
      <c r="A22" s="34" t="s">
        <v>272</v>
      </c>
      <c r="B22" s="34" t="s">
        <v>273</v>
      </c>
      <c r="C22" s="27" t="s">
        <v>302</v>
      </c>
      <c r="D22" s="29" t="s">
        <v>303</v>
      </c>
      <c r="E22" s="20" t="s">
        <v>304</v>
      </c>
      <c r="F22" s="34" t="s">
        <v>292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>
      <c r="A23" s="34" t="s">
        <v>272</v>
      </c>
      <c r="B23" s="34" t="s">
        <v>273</v>
      </c>
      <c r="C23" s="27" t="s">
        <v>195</v>
      </c>
      <c r="D23" s="29" t="s">
        <v>196</v>
      </c>
      <c r="E23" s="20" t="s">
        <v>197</v>
      </c>
      <c r="F23" s="34" t="s">
        <v>292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>
      <c r="A24" s="34" t="s">
        <v>228</v>
      </c>
      <c r="B24" s="34" t="s">
        <v>305</v>
      </c>
      <c r="C24" s="27" t="s">
        <v>306</v>
      </c>
      <c r="D24" s="29" t="s">
        <v>307</v>
      </c>
      <c r="E24" s="20" t="s">
        <v>308</v>
      </c>
      <c r="F24" s="34" t="s">
        <v>309</v>
      </c>
      <c r="G24" s="30" t="s">
        <v>36</v>
      </c>
      <c r="H24" s="27" t="s">
        <v>37</v>
      </c>
      <c r="I24" s="27" t="s">
        <v>38</v>
      </c>
      <c r="J24" s="27" t="s">
        <v>62</v>
      </c>
      <c r="K24" s="31" t="s">
        <v>63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>
      <c r="A25" s="34" t="s">
        <v>253</v>
      </c>
      <c r="B25" s="34" t="s">
        <v>253</v>
      </c>
      <c r="C25" s="27" t="s">
        <v>223</v>
      </c>
      <c r="D25" s="29" t="s">
        <v>107</v>
      </c>
      <c r="E25" s="20" t="s">
        <v>50</v>
      </c>
      <c r="F25" s="34" t="s">
        <v>292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>
      <c r="A26" s="34" t="s">
        <v>228</v>
      </c>
      <c r="B26" s="34" t="s">
        <v>310</v>
      </c>
      <c r="C26" s="27" t="s">
        <v>311</v>
      </c>
      <c r="D26" s="29" t="s">
        <v>312</v>
      </c>
      <c r="E26" s="20" t="s">
        <v>313</v>
      </c>
      <c r="F26" s="34" t="s">
        <v>314</v>
      </c>
      <c r="G26" s="30" t="s">
        <v>36</v>
      </c>
      <c r="H26" s="27" t="s">
        <v>37</v>
      </c>
      <c r="I26" s="27" t="s">
        <v>38</v>
      </c>
      <c r="J26" s="27" t="s">
        <v>62</v>
      </c>
      <c r="K26" s="31" t="s">
        <v>63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43344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38.25">
      <c r="A10" s="34" t="s">
        <v>253</v>
      </c>
      <c r="B10" s="34" t="s">
        <v>288</v>
      </c>
      <c r="C10" s="50" t="s">
        <v>96</v>
      </c>
      <c r="D10" s="29" t="s">
        <v>97</v>
      </c>
      <c r="E10" s="20" t="s">
        <v>315</v>
      </c>
      <c r="F10" s="34" t="s">
        <v>316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29" t="s">
        <v>107</v>
      </c>
      <c r="E11" s="20" t="s">
        <v>87</v>
      </c>
      <c r="F11" s="34" t="s">
        <v>317</v>
      </c>
      <c r="G11" s="30" t="s">
        <v>36</v>
      </c>
      <c r="H11" s="27" t="s">
        <v>37</v>
      </c>
      <c r="I11" s="27" t="s">
        <v>38</v>
      </c>
      <c r="J11" s="27" t="s">
        <v>318</v>
      </c>
      <c r="K11" s="31" t="s">
        <v>40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>
      <c r="A12" s="34" t="s">
        <v>221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317</v>
      </c>
      <c r="G12" s="30" t="s">
        <v>36</v>
      </c>
      <c r="H12" s="27" t="s">
        <v>37</v>
      </c>
      <c r="I12" s="27" t="s">
        <v>38</v>
      </c>
      <c r="J12" s="27" t="s">
        <v>318</v>
      </c>
      <c r="K12" s="31" t="s">
        <v>40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>
      <c r="A13" s="34" t="s">
        <v>221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319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>
      <c r="A14" s="34" t="s">
        <v>231</v>
      </c>
      <c r="B14" s="34" t="s">
        <v>231</v>
      </c>
      <c r="C14" s="27" t="s">
        <v>86</v>
      </c>
      <c r="D14" s="29" t="s">
        <v>107</v>
      </c>
      <c r="E14" s="20" t="s">
        <v>87</v>
      </c>
      <c r="F14" s="34" t="s">
        <v>319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>
      <c r="A15" s="34" t="s">
        <v>253</v>
      </c>
      <c r="B15" s="34" t="s">
        <v>253</v>
      </c>
      <c r="C15" s="27" t="s">
        <v>223</v>
      </c>
      <c r="D15" s="29" t="s">
        <v>252</v>
      </c>
      <c r="E15" s="20" t="s">
        <v>50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318</v>
      </c>
      <c r="K15" s="31" t="s">
        <v>40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>
      <c r="A16" s="114" t="s">
        <v>253</v>
      </c>
      <c r="B16" s="114" t="s">
        <v>253</v>
      </c>
      <c r="C16" s="116" t="s">
        <v>320</v>
      </c>
      <c r="D16" s="110" t="s">
        <v>321</v>
      </c>
      <c r="E16" s="112" t="s">
        <v>78</v>
      </c>
      <c r="F16" s="114" t="s">
        <v>90</v>
      </c>
      <c r="G16" s="30" t="s">
        <v>36</v>
      </c>
      <c r="H16" s="27" t="s">
        <v>37</v>
      </c>
      <c r="I16" s="27" t="s">
        <v>38</v>
      </c>
      <c r="J16" s="27" t="s">
        <v>318</v>
      </c>
      <c r="K16" s="31" t="s">
        <v>40</v>
      </c>
      <c r="L16" s="124">
        <v>43356</v>
      </c>
      <c r="M16" s="124">
        <v>43357</v>
      </c>
      <c r="N16" s="31">
        <f>1465.14/2</f>
        <v>732.57</v>
      </c>
      <c r="O16" s="31"/>
      <c r="P16" s="120">
        <f>N16+O17</f>
        <v>1465.14</v>
      </c>
      <c r="Q16" s="116">
        <v>2</v>
      </c>
      <c r="R16" s="120">
        <v>120</v>
      </c>
      <c r="S16" s="116">
        <v>0</v>
      </c>
      <c r="T16" s="120">
        <v>0</v>
      </c>
      <c r="U16" s="122">
        <f t="shared" si="1"/>
        <v>240</v>
      </c>
      <c r="V16" s="120">
        <f t="shared" si="2"/>
        <v>1705.14</v>
      </c>
      <c r="W16" s="120">
        <f t="shared" si="3"/>
        <v>1705.14</v>
      </c>
      <c r="X16" s="118"/>
    </row>
    <row r="17" spans="1:24" ht="14.25">
      <c r="A17" s="115"/>
      <c r="B17" s="115"/>
      <c r="C17" s="117"/>
      <c r="D17" s="111"/>
      <c r="E17" s="113"/>
      <c r="F17" s="115"/>
      <c r="G17" s="30" t="s">
        <v>36</v>
      </c>
      <c r="H17" s="27" t="s">
        <v>318</v>
      </c>
      <c r="I17" s="31" t="s">
        <v>40</v>
      </c>
      <c r="J17" s="27" t="s">
        <v>62</v>
      </c>
      <c r="K17" s="31" t="s">
        <v>63</v>
      </c>
      <c r="L17" s="125"/>
      <c r="M17" s="125"/>
      <c r="N17" s="31"/>
      <c r="O17" s="31">
        <f>1465.14/2</f>
        <v>732.57</v>
      </c>
      <c r="P17" s="121"/>
      <c r="Q17" s="117"/>
      <c r="R17" s="121"/>
      <c r="S17" s="117"/>
      <c r="T17" s="121"/>
      <c r="U17" s="123"/>
      <c r="V17" s="121"/>
      <c r="W17" s="121"/>
      <c r="X17" s="119"/>
    </row>
    <row r="18" spans="1:24" ht="38.25">
      <c r="A18" s="34" t="s">
        <v>253</v>
      </c>
      <c r="B18" s="34" t="s">
        <v>322</v>
      </c>
      <c r="C18" s="27" t="s">
        <v>323</v>
      </c>
      <c r="D18" s="29" t="s">
        <v>324</v>
      </c>
      <c r="E18" s="20" t="s">
        <v>325</v>
      </c>
      <c r="F18" s="34" t="s">
        <v>326</v>
      </c>
      <c r="G18" s="30" t="s">
        <v>36</v>
      </c>
      <c r="H18" s="27" t="s">
        <v>37</v>
      </c>
      <c r="I18" s="27" t="s">
        <v>38</v>
      </c>
      <c r="J18" s="27" t="s">
        <v>318</v>
      </c>
      <c r="K18" s="31" t="s">
        <v>40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>
      <c r="A19" s="34" t="s">
        <v>253</v>
      </c>
      <c r="B19" s="34" t="s">
        <v>322</v>
      </c>
      <c r="C19" s="27" t="s">
        <v>327</v>
      </c>
      <c r="D19" s="29" t="s">
        <v>328</v>
      </c>
      <c r="E19" s="20" t="s">
        <v>329</v>
      </c>
      <c r="F19" s="34" t="s">
        <v>326</v>
      </c>
      <c r="G19" s="30" t="s">
        <v>36</v>
      </c>
      <c r="H19" s="27" t="s">
        <v>37</v>
      </c>
      <c r="I19" s="27" t="s">
        <v>38</v>
      </c>
      <c r="J19" s="27" t="s">
        <v>318</v>
      </c>
      <c r="K19" s="31" t="s">
        <v>40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43374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253</v>
      </c>
      <c r="B10" s="34" t="s">
        <v>288</v>
      </c>
      <c r="C10" s="50" t="s">
        <v>330</v>
      </c>
      <c r="D10" s="29" t="s">
        <v>331</v>
      </c>
      <c r="E10" s="20" t="s">
        <v>332</v>
      </c>
      <c r="F10" s="34" t="s">
        <v>333</v>
      </c>
      <c r="G10" s="30" t="s">
        <v>36</v>
      </c>
      <c r="H10" s="27" t="s">
        <v>37</v>
      </c>
      <c r="I10" s="27" t="s">
        <v>38</v>
      </c>
      <c r="J10" s="27" t="s">
        <v>334</v>
      </c>
      <c r="K10" s="31" t="s">
        <v>335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>
      <c r="A11" s="34" t="s">
        <v>231</v>
      </c>
      <c r="B11" s="34" t="s">
        <v>336</v>
      </c>
      <c r="C11" s="27" t="s">
        <v>65</v>
      </c>
      <c r="D11" s="29" t="s">
        <v>66</v>
      </c>
      <c r="E11" s="20" t="s">
        <v>337</v>
      </c>
      <c r="F11" s="34" t="s">
        <v>338</v>
      </c>
      <c r="G11" s="30" t="s">
        <v>36</v>
      </c>
      <c r="H11" s="27" t="s">
        <v>37</v>
      </c>
      <c r="I11" s="27" t="s">
        <v>38</v>
      </c>
      <c r="J11" s="27" t="s">
        <v>339</v>
      </c>
      <c r="K11" s="31" t="s">
        <v>340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>
      <c r="A12" s="34" t="s">
        <v>231</v>
      </c>
      <c r="B12" s="34" t="s">
        <v>336</v>
      </c>
      <c r="C12" s="27" t="s">
        <v>246</v>
      </c>
      <c r="D12" s="29" t="s">
        <v>247</v>
      </c>
      <c r="E12" s="20" t="s">
        <v>341</v>
      </c>
      <c r="F12" s="34" t="s">
        <v>342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29" t="s">
        <v>321</v>
      </c>
      <c r="E13" s="20" t="s">
        <v>343</v>
      </c>
      <c r="F13" s="34" t="s">
        <v>344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>
      <c r="A14" s="34" t="s">
        <v>253</v>
      </c>
      <c r="B14" s="34" t="s">
        <v>288</v>
      </c>
      <c r="C14" s="27" t="s">
        <v>345</v>
      </c>
      <c r="D14" s="29" t="s">
        <v>346</v>
      </c>
      <c r="E14" s="20" t="s">
        <v>315</v>
      </c>
      <c r="F14" s="34" t="s">
        <v>347</v>
      </c>
      <c r="G14" s="30" t="s">
        <v>36</v>
      </c>
      <c r="H14" s="27" t="s">
        <v>37</v>
      </c>
      <c r="I14" s="27" t="s">
        <v>38</v>
      </c>
      <c r="J14" s="27" t="s">
        <v>334</v>
      </c>
      <c r="K14" s="31" t="s">
        <v>335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>
      <c r="A15" s="34" t="s">
        <v>272</v>
      </c>
      <c r="B15" s="34" t="s">
        <v>273</v>
      </c>
      <c r="C15" s="27" t="s">
        <v>201</v>
      </c>
      <c r="D15" s="29" t="s">
        <v>202</v>
      </c>
      <c r="E15" s="20" t="s">
        <v>348</v>
      </c>
      <c r="F15" s="34" t="s">
        <v>349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>
      <c r="A16" s="34" t="s">
        <v>253</v>
      </c>
      <c r="B16" s="34" t="s">
        <v>322</v>
      </c>
      <c r="C16" s="27" t="s">
        <v>350</v>
      </c>
      <c r="D16" s="29" t="s">
        <v>351</v>
      </c>
      <c r="E16" s="20" t="s">
        <v>352</v>
      </c>
      <c r="F16" s="34" t="s">
        <v>353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>
      <c r="A17" s="34" t="s">
        <v>253</v>
      </c>
      <c r="B17" s="34" t="s">
        <v>322</v>
      </c>
      <c r="C17" s="27" t="s">
        <v>354</v>
      </c>
      <c r="D17" s="29" t="s">
        <v>355</v>
      </c>
      <c r="E17" s="20" t="s">
        <v>356</v>
      </c>
      <c r="F17" s="34" t="s">
        <v>353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>
      <c r="A18" s="34" t="s">
        <v>253</v>
      </c>
      <c r="B18" s="34" t="s">
        <v>212</v>
      </c>
      <c r="C18" s="27" t="s">
        <v>330</v>
      </c>
      <c r="D18" s="29" t="s">
        <v>331</v>
      </c>
      <c r="E18" s="20" t="s">
        <v>332</v>
      </c>
      <c r="F18" s="34" t="s">
        <v>349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>
      <c r="A19" s="34" t="s">
        <v>231</v>
      </c>
      <c r="B19" s="34" t="s">
        <v>231</v>
      </c>
      <c r="C19" s="27" t="s">
        <v>86</v>
      </c>
      <c r="D19" s="29" t="s">
        <v>107</v>
      </c>
      <c r="E19" s="20" t="s">
        <v>87</v>
      </c>
      <c r="F19" s="34" t="s">
        <v>357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358</v>
      </c>
      <c r="G20" s="30" t="s">
        <v>36</v>
      </c>
      <c r="H20" s="27" t="s">
        <v>37</v>
      </c>
      <c r="I20" s="27" t="s">
        <v>38</v>
      </c>
      <c r="J20" s="27" t="s">
        <v>62</v>
      </c>
      <c r="K20" s="31" t="s">
        <v>63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>
      <c r="A21" s="34" t="s">
        <v>272</v>
      </c>
      <c r="B21" s="34" t="s">
        <v>226</v>
      </c>
      <c r="C21" s="27" t="s">
        <v>46</v>
      </c>
      <c r="D21" s="29" t="s">
        <v>69</v>
      </c>
      <c r="E21" s="20" t="s">
        <v>359</v>
      </c>
      <c r="F21" s="34" t="s">
        <v>360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43405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231</v>
      </c>
      <c r="B10" s="34" t="s">
        <v>241</v>
      </c>
      <c r="C10" s="27" t="s">
        <v>130</v>
      </c>
      <c r="D10" s="29" t="s">
        <v>131</v>
      </c>
      <c r="E10" s="20" t="s">
        <v>361</v>
      </c>
      <c r="F10" s="34" t="s">
        <v>362</v>
      </c>
      <c r="G10" s="30" t="s">
        <v>36</v>
      </c>
      <c r="H10" s="27" t="s">
        <v>37</v>
      </c>
      <c r="I10" s="27" t="s">
        <v>38</v>
      </c>
      <c r="J10" s="27" t="s">
        <v>104</v>
      </c>
      <c r="K10" s="31" t="s">
        <v>105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>
      <c r="A11" s="34" t="s">
        <v>231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362</v>
      </c>
      <c r="G11" s="30" t="s">
        <v>36</v>
      </c>
      <c r="H11" s="27" t="s">
        <v>37</v>
      </c>
      <c r="I11" s="27" t="s">
        <v>38</v>
      </c>
      <c r="J11" s="27" t="s">
        <v>104</v>
      </c>
      <c r="K11" s="31" t="s">
        <v>105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>
      <c r="A12" s="34" t="s">
        <v>231</v>
      </c>
      <c r="B12" s="34" t="s">
        <v>231</v>
      </c>
      <c r="C12" s="27" t="s">
        <v>86</v>
      </c>
      <c r="D12" s="29" t="s">
        <v>77</v>
      </c>
      <c r="E12" s="20" t="s">
        <v>87</v>
      </c>
      <c r="F12" s="34" t="s">
        <v>362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>
      <c r="A13" s="34" t="s">
        <v>231</v>
      </c>
      <c r="B13" s="34" t="s">
        <v>215</v>
      </c>
      <c r="C13" s="27" t="s">
        <v>216</v>
      </c>
      <c r="D13" s="29" t="s">
        <v>363</v>
      </c>
      <c r="E13" s="20" t="s">
        <v>218</v>
      </c>
      <c r="F13" s="34" t="s">
        <v>364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>
      <c r="A14" s="34" t="s">
        <v>253</v>
      </c>
      <c r="B14" s="34" t="s">
        <v>212</v>
      </c>
      <c r="C14" s="27" t="s">
        <v>41</v>
      </c>
      <c r="D14" s="29" t="s">
        <v>171</v>
      </c>
      <c r="E14" s="20" t="s">
        <v>42</v>
      </c>
      <c r="F14" s="34" t="s">
        <v>365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>
      <c r="A15" s="34" t="s">
        <v>231</v>
      </c>
      <c r="B15" s="34" t="s">
        <v>366</v>
      </c>
      <c r="C15" s="27" t="s">
        <v>367</v>
      </c>
      <c r="D15" s="29" t="s">
        <v>368</v>
      </c>
      <c r="E15" s="20" t="s">
        <v>369</v>
      </c>
      <c r="F15" s="34" t="s">
        <v>370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>
      <c r="A16" s="34" t="s">
        <v>371</v>
      </c>
      <c r="B16" s="34" t="s">
        <v>226</v>
      </c>
      <c r="C16" s="27" t="s">
        <v>46</v>
      </c>
      <c r="D16" s="29" t="s">
        <v>69</v>
      </c>
      <c r="E16" s="20" t="s">
        <v>47</v>
      </c>
      <c r="F16" s="34" t="s">
        <v>372</v>
      </c>
      <c r="G16" s="30" t="s">
        <v>36</v>
      </c>
      <c r="H16" s="27" t="s">
        <v>37</v>
      </c>
      <c r="I16" s="27" t="s">
        <v>38</v>
      </c>
      <c r="J16" s="27" t="s">
        <v>373</v>
      </c>
      <c r="K16" s="31" t="s">
        <v>374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>
      <c r="A17" s="34" t="s">
        <v>253</v>
      </c>
      <c r="B17" s="34" t="s">
        <v>288</v>
      </c>
      <c r="C17" s="27" t="s">
        <v>375</v>
      </c>
      <c r="D17" s="29" t="s">
        <v>376</v>
      </c>
      <c r="E17" s="20" t="s">
        <v>98</v>
      </c>
      <c r="F17" s="34" t="s">
        <v>377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>
      <c r="A18" s="34" t="s">
        <v>253</v>
      </c>
      <c r="B18" s="34" t="s">
        <v>288</v>
      </c>
      <c r="C18" s="27" t="s">
        <v>378</v>
      </c>
      <c r="D18" s="29" t="s">
        <v>379</v>
      </c>
      <c r="E18" s="20" t="s">
        <v>380</v>
      </c>
      <c r="F18" s="34" t="s">
        <v>377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>
      <c r="A19" s="34" t="s">
        <v>371</v>
      </c>
      <c r="B19" s="34" t="s">
        <v>371</v>
      </c>
      <c r="C19" s="27" t="s">
        <v>79</v>
      </c>
      <c r="D19" s="29" t="s">
        <v>77</v>
      </c>
      <c r="E19" s="20" t="s">
        <v>80</v>
      </c>
      <c r="F19" s="34" t="s">
        <v>381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>
      <c r="A20" s="34" t="s">
        <v>231</v>
      </c>
      <c r="B20" s="34" t="s">
        <v>231</v>
      </c>
      <c r="C20" s="40" t="s">
        <v>86</v>
      </c>
      <c r="D20" s="51" t="s">
        <v>77</v>
      </c>
      <c r="E20" s="20" t="s">
        <v>87</v>
      </c>
      <c r="F20" s="34" t="s">
        <v>381</v>
      </c>
      <c r="G20" s="30" t="s">
        <v>36</v>
      </c>
      <c r="H20" s="40" t="s">
        <v>37</v>
      </c>
      <c r="I20" s="40" t="s">
        <v>38</v>
      </c>
      <c r="J20" s="40" t="s">
        <v>39</v>
      </c>
      <c r="K20" s="39" t="s">
        <v>40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25">
      <c r="A21" s="127" t="s">
        <v>371</v>
      </c>
      <c r="B21" s="127" t="s">
        <v>371</v>
      </c>
      <c r="C21" s="108" t="s">
        <v>79</v>
      </c>
      <c r="D21" s="137" t="s">
        <v>77</v>
      </c>
      <c r="E21" s="138" t="s">
        <v>80</v>
      </c>
      <c r="F21" s="139" t="s">
        <v>382</v>
      </c>
      <c r="G21" s="140" t="s">
        <v>36</v>
      </c>
      <c r="H21" s="47" t="s">
        <v>37</v>
      </c>
      <c r="I21" s="47" t="s">
        <v>38</v>
      </c>
      <c r="J21" s="47" t="s">
        <v>39</v>
      </c>
      <c r="K21" s="45" t="s">
        <v>40</v>
      </c>
      <c r="L21" s="126">
        <v>43433</v>
      </c>
      <c r="M21" s="126">
        <v>43434</v>
      </c>
      <c r="N21" s="135">
        <f>1395.23/2</f>
        <v>697.61500000000001</v>
      </c>
      <c r="O21" s="133">
        <f>1395.23/2</f>
        <v>697.61500000000001</v>
      </c>
      <c r="P21" s="129">
        <f t="shared" si="0"/>
        <v>697.61500000000001</v>
      </c>
      <c r="Q21" s="108">
        <v>0</v>
      </c>
      <c r="R21" s="129">
        <v>0</v>
      </c>
      <c r="S21" s="108">
        <v>0</v>
      </c>
      <c r="T21" s="129">
        <v>0</v>
      </c>
      <c r="U21" s="130">
        <f t="shared" si="1"/>
        <v>0</v>
      </c>
      <c r="V21" s="120">
        <f t="shared" si="2"/>
        <v>697.61500000000001</v>
      </c>
      <c r="W21" s="133">
        <f t="shared" si="3"/>
        <v>697.61500000000001</v>
      </c>
      <c r="X21" s="126"/>
    </row>
    <row r="22" spans="1:24" ht="26.25" customHeight="1">
      <c r="A22" s="128"/>
      <c r="B22" s="128"/>
      <c r="C22" s="108"/>
      <c r="D22" s="137"/>
      <c r="E22" s="138"/>
      <c r="F22" s="139"/>
      <c r="G22" s="140"/>
      <c r="H22" s="47" t="s">
        <v>39</v>
      </c>
      <c r="I22" s="45" t="s">
        <v>40</v>
      </c>
      <c r="J22" s="47" t="s">
        <v>116</v>
      </c>
      <c r="K22" s="45" t="s">
        <v>117</v>
      </c>
      <c r="L22" s="126"/>
      <c r="M22" s="126"/>
      <c r="N22" s="136"/>
      <c r="O22" s="134"/>
      <c r="P22" s="129">
        <f t="shared" si="0"/>
        <v>0</v>
      </c>
      <c r="Q22" s="108"/>
      <c r="R22" s="129"/>
      <c r="S22" s="108"/>
      <c r="T22" s="129"/>
      <c r="U22" s="131"/>
      <c r="V22" s="132"/>
      <c r="W22" s="134"/>
      <c r="X22" s="126"/>
    </row>
    <row r="23" spans="1:24" ht="25.5">
      <c r="A23" s="34" t="s">
        <v>253</v>
      </c>
      <c r="B23" s="34" t="s">
        <v>253</v>
      </c>
      <c r="C23" s="27" t="s">
        <v>223</v>
      </c>
      <c r="D23" s="29" t="s">
        <v>77</v>
      </c>
      <c r="E23" s="20" t="s">
        <v>50</v>
      </c>
      <c r="F23" s="34" t="s">
        <v>382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>
      <c r="A24" s="34" t="s">
        <v>253</v>
      </c>
      <c r="B24" s="34" t="s">
        <v>259</v>
      </c>
      <c r="C24" s="27" t="s">
        <v>383</v>
      </c>
      <c r="D24" s="29" t="s">
        <v>384</v>
      </c>
      <c r="E24" s="20" t="s">
        <v>385</v>
      </c>
      <c r="F24" s="34" t="s">
        <v>381</v>
      </c>
      <c r="G24" s="30" t="s">
        <v>36</v>
      </c>
      <c r="H24" s="27" t="s">
        <v>37</v>
      </c>
      <c r="I24" s="27" t="s">
        <v>38</v>
      </c>
      <c r="J24" s="27" t="s">
        <v>39</v>
      </c>
      <c r="K24" s="31" t="s">
        <v>40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>
      <c r="A25" s="34" t="s">
        <v>253</v>
      </c>
      <c r="B25" s="34" t="s">
        <v>253</v>
      </c>
      <c r="C25" s="47" t="s">
        <v>320</v>
      </c>
      <c r="D25" s="56" t="s">
        <v>321</v>
      </c>
      <c r="E25" s="20" t="s">
        <v>343</v>
      </c>
      <c r="F25" s="53" t="s">
        <v>386</v>
      </c>
      <c r="G25" s="55" t="s">
        <v>36</v>
      </c>
      <c r="H25" s="47" t="s">
        <v>37</v>
      </c>
      <c r="I25" s="47" t="s">
        <v>38</v>
      </c>
      <c r="J25" s="27" t="s">
        <v>39</v>
      </c>
      <c r="K25" s="31" t="s">
        <v>40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25.5">
      <c r="A26" s="34" t="s">
        <v>253</v>
      </c>
      <c r="B26" s="34" t="s">
        <v>212</v>
      </c>
      <c r="C26" s="27" t="s">
        <v>387</v>
      </c>
      <c r="D26" s="29" t="s">
        <v>388</v>
      </c>
      <c r="E26" s="20" t="s">
        <v>34</v>
      </c>
      <c r="F26" s="53" t="s">
        <v>386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43435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231</v>
      </c>
      <c r="B10" s="34" t="s">
        <v>221</v>
      </c>
      <c r="C10" s="27" t="s">
        <v>54</v>
      </c>
      <c r="D10" s="29" t="s">
        <v>88</v>
      </c>
      <c r="E10" s="20" t="s">
        <v>55</v>
      </c>
      <c r="F10" s="34" t="s">
        <v>389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51" t="s">
        <v>77</v>
      </c>
      <c r="E11" s="20" t="s">
        <v>87</v>
      </c>
      <c r="F11" s="34" t="s">
        <v>389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>
      <c r="A12" s="34" t="s">
        <v>253</v>
      </c>
      <c r="B12" s="34" t="s">
        <v>259</v>
      </c>
      <c r="C12" s="27" t="s">
        <v>192</v>
      </c>
      <c r="D12" s="29" t="s">
        <v>193</v>
      </c>
      <c r="E12" s="20" t="s">
        <v>114</v>
      </c>
      <c r="F12" s="34" t="s">
        <v>390</v>
      </c>
      <c r="G12" s="30" t="s">
        <v>36</v>
      </c>
      <c r="H12" s="27" t="s">
        <v>37</v>
      </c>
      <c r="I12" s="27" t="s">
        <v>38</v>
      </c>
      <c r="J12" s="27" t="s">
        <v>37</v>
      </c>
      <c r="K12" s="31" t="s">
        <v>391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>
      <c r="A13" s="34" t="s">
        <v>231</v>
      </c>
      <c r="B13" s="34" t="s">
        <v>231</v>
      </c>
      <c r="C13" s="27" t="s">
        <v>86</v>
      </c>
      <c r="D13" s="51" t="s">
        <v>77</v>
      </c>
      <c r="E13" s="20" t="s">
        <v>87</v>
      </c>
      <c r="F13" s="34" t="s">
        <v>392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>
      <c r="A14" s="34" t="s">
        <v>231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392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>
      <c r="A15" s="34" t="s">
        <v>253</v>
      </c>
      <c r="B15" s="34" t="s">
        <v>253</v>
      </c>
      <c r="C15" s="27" t="s">
        <v>320</v>
      </c>
      <c r="D15" s="56" t="s">
        <v>321</v>
      </c>
      <c r="E15" s="20" t="s">
        <v>343</v>
      </c>
      <c r="F15" s="34" t="s">
        <v>393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43466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38.25">
      <c r="A10" s="34" t="s">
        <v>371</v>
      </c>
      <c r="B10" s="34" t="s">
        <v>273</v>
      </c>
      <c r="C10" s="27" t="s">
        <v>201</v>
      </c>
      <c r="D10" s="29" t="s">
        <v>202</v>
      </c>
      <c r="E10" s="20" t="s">
        <v>348</v>
      </c>
      <c r="F10" s="34" t="s">
        <v>394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>
      <c r="A11" s="34" t="s">
        <v>371</v>
      </c>
      <c r="B11" s="34" t="s">
        <v>273</v>
      </c>
      <c r="C11" s="27" t="s">
        <v>195</v>
      </c>
      <c r="D11" s="29" t="s">
        <v>196</v>
      </c>
      <c r="E11" s="20" t="s">
        <v>197</v>
      </c>
      <c r="F11" s="34" t="s">
        <v>394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>
      <c r="A12" s="34" t="s">
        <v>253</v>
      </c>
      <c r="B12" s="34" t="s">
        <v>253</v>
      </c>
      <c r="C12" s="27" t="s">
        <v>223</v>
      </c>
      <c r="D12" s="29" t="s">
        <v>77</v>
      </c>
      <c r="E12" s="20" t="s">
        <v>50</v>
      </c>
      <c r="F12" s="34" t="s">
        <v>395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56" t="s">
        <v>321</v>
      </c>
      <c r="E13" s="20" t="s">
        <v>343</v>
      </c>
      <c r="F13" s="34" t="s">
        <v>395</v>
      </c>
      <c r="G13" s="30" t="s">
        <v>36</v>
      </c>
      <c r="H13" s="27" t="s">
        <v>37</v>
      </c>
      <c r="I13" s="27" t="s">
        <v>38</v>
      </c>
      <c r="J13" s="27" t="s">
        <v>116</v>
      </c>
      <c r="K13" s="31" t="s">
        <v>117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>
      <c r="A14" s="34" t="s">
        <v>371</v>
      </c>
      <c r="B14" s="34" t="s">
        <v>396</v>
      </c>
      <c r="C14" s="27" t="s">
        <v>152</v>
      </c>
      <c r="D14" s="29" t="s">
        <v>153</v>
      </c>
      <c r="E14" s="20" t="s">
        <v>397</v>
      </c>
      <c r="F14" s="34" t="s">
        <v>398</v>
      </c>
      <c r="G14" s="30" t="s">
        <v>36</v>
      </c>
      <c r="H14" s="27" t="s">
        <v>37</v>
      </c>
      <c r="I14" s="27" t="s">
        <v>38</v>
      </c>
      <c r="J14" s="27" t="s">
        <v>104</v>
      </c>
      <c r="K14" s="31" t="s">
        <v>105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>
      <c r="A15" s="34" t="s">
        <v>371</v>
      </c>
      <c r="B15" s="34" t="s">
        <v>396</v>
      </c>
      <c r="C15" s="27" t="s">
        <v>267</v>
      </c>
      <c r="D15" s="29" t="s">
        <v>145</v>
      </c>
      <c r="E15" s="20" t="s">
        <v>399</v>
      </c>
      <c r="F15" s="34" t="s">
        <v>398</v>
      </c>
      <c r="G15" s="30" t="s">
        <v>36</v>
      </c>
      <c r="H15" s="27" t="s">
        <v>37</v>
      </c>
      <c r="I15" s="27" t="s">
        <v>38</v>
      </c>
      <c r="J15" s="27" t="s">
        <v>104</v>
      </c>
      <c r="K15" s="31" t="s">
        <v>105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>
      <c r="A16" s="34" t="s">
        <v>231</v>
      </c>
      <c r="B16" s="34" t="s">
        <v>400</v>
      </c>
      <c r="C16" s="27" t="s">
        <v>401</v>
      </c>
      <c r="D16" s="29" t="s">
        <v>402</v>
      </c>
      <c r="E16" s="20" t="s">
        <v>403</v>
      </c>
      <c r="F16" s="34" t="s">
        <v>398</v>
      </c>
      <c r="G16" s="30" t="s">
        <v>36</v>
      </c>
      <c r="H16" s="27" t="s">
        <v>37</v>
      </c>
      <c r="I16" s="27" t="s">
        <v>38</v>
      </c>
      <c r="J16" s="27" t="s">
        <v>104</v>
      </c>
      <c r="K16" s="31" t="s">
        <v>105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>
      <c r="A17" s="34" t="s">
        <v>253</v>
      </c>
      <c r="B17" s="34" t="s">
        <v>212</v>
      </c>
      <c r="C17" s="27" t="s">
        <v>404</v>
      </c>
      <c r="D17" s="29" t="s">
        <v>405</v>
      </c>
      <c r="E17" s="20" t="s">
        <v>406</v>
      </c>
      <c r="F17" s="34" t="s">
        <v>398</v>
      </c>
      <c r="G17" s="30" t="s">
        <v>36</v>
      </c>
      <c r="H17" s="27" t="s">
        <v>37</v>
      </c>
      <c r="I17" s="27" t="s">
        <v>38</v>
      </c>
      <c r="J17" s="27" t="s">
        <v>104</v>
      </c>
      <c r="K17" s="31" t="s">
        <v>105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>
      <c r="A18" s="34" t="s">
        <v>253</v>
      </c>
      <c r="B18" s="34" t="s">
        <v>253</v>
      </c>
      <c r="C18" s="27" t="s">
        <v>223</v>
      </c>
      <c r="D18" s="29" t="s">
        <v>77</v>
      </c>
      <c r="E18" s="20" t="s">
        <v>50</v>
      </c>
      <c r="F18" s="34" t="s">
        <v>398</v>
      </c>
      <c r="G18" s="30" t="s">
        <v>36</v>
      </c>
      <c r="H18" s="27" t="s">
        <v>37</v>
      </c>
      <c r="I18" s="27" t="s">
        <v>38</v>
      </c>
      <c r="J18" s="27" t="s">
        <v>104</v>
      </c>
      <c r="K18" s="31" t="s">
        <v>105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>
      <c r="A19" s="34" t="s">
        <v>231</v>
      </c>
      <c r="B19" s="34" t="s">
        <v>231</v>
      </c>
      <c r="C19" s="49" t="s">
        <v>86</v>
      </c>
      <c r="D19" s="56" t="s">
        <v>77</v>
      </c>
      <c r="E19" s="61" t="s">
        <v>87</v>
      </c>
      <c r="F19" s="34" t="s">
        <v>407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43497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253</v>
      </c>
      <c r="B10" s="34" t="s">
        <v>288</v>
      </c>
      <c r="C10" s="27" t="s">
        <v>378</v>
      </c>
      <c r="D10" s="29" t="s">
        <v>379</v>
      </c>
      <c r="E10" s="20" t="s">
        <v>380</v>
      </c>
      <c r="F10" s="34" t="s">
        <v>408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>
      <c r="A11" s="34" t="s">
        <v>253</v>
      </c>
      <c r="B11" s="34" t="s">
        <v>253</v>
      </c>
      <c r="C11" s="27" t="s">
        <v>223</v>
      </c>
      <c r="D11" s="29" t="s">
        <v>77</v>
      </c>
      <c r="E11" s="20" t="s">
        <v>50</v>
      </c>
      <c r="F11" s="34" t="s">
        <v>408</v>
      </c>
      <c r="G11" s="30" t="s">
        <v>36</v>
      </c>
      <c r="H11" s="27" t="s">
        <v>37</v>
      </c>
      <c r="I11" s="27" t="s">
        <v>38</v>
      </c>
      <c r="J11" s="27" t="s">
        <v>409</v>
      </c>
      <c r="K11" s="31" t="s">
        <v>410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>
      <c r="A12" s="34" t="s">
        <v>253</v>
      </c>
      <c r="B12" s="34" t="s">
        <v>253</v>
      </c>
      <c r="C12" s="27" t="s">
        <v>320</v>
      </c>
      <c r="D12" s="56" t="s">
        <v>321</v>
      </c>
      <c r="E12" s="20" t="s">
        <v>343</v>
      </c>
      <c r="F12" s="34" t="s">
        <v>90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>
      <c r="A13" s="34" t="s">
        <v>231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408</v>
      </c>
      <c r="G13" s="30" t="s">
        <v>36</v>
      </c>
      <c r="H13" s="27" t="s">
        <v>37</v>
      </c>
      <c r="I13" s="27" t="s">
        <v>38</v>
      </c>
      <c r="J13" s="27" t="s">
        <v>409</v>
      </c>
      <c r="K13" s="31" t="s">
        <v>410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>
      <c r="A14" s="34" t="s">
        <v>253</v>
      </c>
      <c r="B14" s="34" t="s">
        <v>253</v>
      </c>
      <c r="C14" s="27" t="s">
        <v>223</v>
      </c>
      <c r="D14" s="29" t="s">
        <v>77</v>
      </c>
      <c r="E14" s="20" t="s">
        <v>50</v>
      </c>
      <c r="F14" s="34" t="s">
        <v>90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>
      <c r="A15" s="34" t="s">
        <v>371</v>
      </c>
      <c r="B15" s="34" t="s">
        <v>371</v>
      </c>
      <c r="C15" s="27" t="s">
        <v>79</v>
      </c>
      <c r="D15" s="29" t="s">
        <v>77</v>
      </c>
      <c r="E15" s="20" t="s">
        <v>80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>
      <c r="A16" s="34" t="s">
        <v>371</v>
      </c>
      <c r="B16" s="34" t="s">
        <v>240</v>
      </c>
      <c r="C16" s="27" t="s">
        <v>140</v>
      </c>
      <c r="D16" s="29" t="s">
        <v>141</v>
      </c>
      <c r="E16" s="20" t="s">
        <v>411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>
      <c r="A17" s="34" t="s">
        <v>371</v>
      </c>
      <c r="B17" s="34" t="s">
        <v>371</v>
      </c>
      <c r="C17" s="27" t="s">
        <v>76</v>
      </c>
      <c r="D17" s="29" t="s">
        <v>107</v>
      </c>
      <c r="E17" s="20" t="s">
        <v>78</v>
      </c>
      <c r="F17" s="34" t="s">
        <v>90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43525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231</v>
      </c>
      <c r="B10" s="34" t="s">
        <v>229</v>
      </c>
      <c r="C10" s="34" t="s">
        <v>246</v>
      </c>
      <c r="D10" s="29" t="s">
        <v>247</v>
      </c>
      <c r="E10" s="20" t="s">
        <v>341</v>
      </c>
      <c r="F10" s="34" t="s">
        <v>230</v>
      </c>
      <c r="G10" s="34" t="s">
        <v>36</v>
      </c>
      <c r="H10" s="34" t="s">
        <v>37</v>
      </c>
      <c r="I10" s="34" t="s">
        <v>38</v>
      </c>
      <c r="J10" s="34" t="s">
        <v>39</v>
      </c>
      <c r="K10" s="34" t="s">
        <v>40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>
      <c r="A11" s="34" t="s">
        <v>371</v>
      </c>
      <c r="B11" s="34" t="s">
        <v>226</v>
      </c>
      <c r="C11" s="34" t="s">
        <v>46</v>
      </c>
      <c r="D11" s="29" t="s">
        <v>69</v>
      </c>
      <c r="E11" s="20" t="s">
        <v>47</v>
      </c>
      <c r="F11" s="34" t="s">
        <v>230</v>
      </c>
      <c r="G11" s="34" t="s">
        <v>36</v>
      </c>
      <c r="H11" s="34" t="s">
        <v>37</v>
      </c>
      <c r="I11" s="34" t="s">
        <v>38</v>
      </c>
      <c r="J11" s="34" t="s">
        <v>39</v>
      </c>
      <c r="K11" s="34" t="s">
        <v>40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>
      <c r="A12" s="34" t="s">
        <v>231</v>
      </c>
      <c r="B12" s="34" t="s">
        <v>231</v>
      </c>
      <c r="C12" s="34" t="s">
        <v>412</v>
      </c>
      <c r="D12" s="56" t="s">
        <v>77</v>
      </c>
      <c r="E12" s="61" t="s">
        <v>87</v>
      </c>
      <c r="F12" s="34" t="s">
        <v>230</v>
      </c>
      <c r="G12" s="34" t="s">
        <v>36</v>
      </c>
      <c r="H12" s="34" t="s">
        <v>37</v>
      </c>
      <c r="I12" s="34" t="s">
        <v>38</v>
      </c>
      <c r="J12" s="34" t="s">
        <v>109</v>
      </c>
      <c r="K12" s="34" t="s">
        <v>110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413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414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>
      <c r="A14" s="34" t="s">
        <v>231</v>
      </c>
      <c r="B14" s="34" t="s">
        <v>221</v>
      </c>
      <c r="C14" s="34" t="s">
        <v>54</v>
      </c>
      <c r="D14" s="29" t="s">
        <v>88</v>
      </c>
      <c r="E14" s="20" t="s">
        <v>55</v>
      </c>
      <c r="F14" s="34" t="s">
        <v>415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>
      <c r="A15" s="34" t="s">
        <v>371</v>
      </c>
      <c r="B15" s="34" t="s">
        <v>371</v>
      </c>
      <c r="C15" s="34" t="s">
        <v>79</v>
      </c>
      <c r="D15" s="29" t="s">
        <v>77</v>
      </c>
      <c r="E15" s="20" t="s">
        <v>80</v>
      </c>
      <c r="F15" s="34" t="s">
        <v>416</v>
      </c>
      <c r="G15" s="34" t="s">
        <v>36</v>
      </c>
      <c r="H15" s="34" t="s">
        <v>37</v>
      </c>
      <c r="I15" s="34" t="s">
        <v>38</v>
      </c>
      <c r="J15" s="34" t="s">
        <v>62</v>
      </c>
      <c r="K15" s="34" t="s">
        <v>63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>
      <c r="A16" s="34" t="s">
        <v>253</v>
      </c>
      <c r="B16" s="34" t="s">
        <v>288</v>
      </c>
      <c r="C16" s="34" t="s">
        <v>378</v>
      </c>
      <c r="D16" s="29" t="s">
        <v>379</v>
      </c>
      <c r="E16" s="20" t="s">
        <v>380</v>
      </c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62</v>
      </c>
      <c r="K16" s="34" t="s">
        <v>63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>
      <c r="A17" s="34" t="s">
        <v>371</v>
      </c>
      <c r="B17" s="34" t="s">
        <v>240</v>
      </c>
      <c r="C17" s="34" t="s">
        <v>137</v>
      </c>
      <c r="D17" s="29" t="s">
        <v>138</v>
      </c>
      <c r="E17" s="34" t="s">
        <v>294</v>
      </c>
      <c r="F17" s="34" t="s">
        <v>417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>
      <c r="A18" s="34" t="s">
        <v>371</v>
      </c>
      <c r="B18" s="34" t="s">
        <v>240</v>
      </c>
      <c r="C18" s="34" t="s">
        <v>140</v>
      </c>
      <c r="D18" s="29" t="s">
        <v>141</v>
      </c>
      <c r="E18" s="20" t="s">
        <v>411</v>
      </c>
      <c r="F18" s="34" t="s">
        <v>417</v>
      </c>
      <c r="G18" s="34" t="s">
        <v>36</v>
      </c>
      <c r="H18" s="34" t="s">
        <v>37</v>
      </c>
      <c r="I18" s="34" t="s">
        <v>38</v>
      </c>
      <c r="J18" s="34" t="s">
        <v>116</v>
      </c>
      <c r="K18" s="34" t="s">
        <v>117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>
      <c r="A19" s="34" t="s">
        <v>253</v>
      </c>
      <c r="B19" s="34" t="s">
        <v>253</v>
      </c>
      <c r="C19" s="34" t="s">
        <v>320</v>
      </c>
      <c r="D19" s="56" t="s">
        <v>321</v>
      </c>
      <c r="E19" s="20" t="s">
        <v>343</v>
      </c>
      <c r="F19" s="34" t="s">
        <v>417</v>
      </c>
      <c r="G19" s="34" t="s">
        <v>36</v>
      </c>
      <c r="H19" s="34" t="s">
        <v>62</v>
      </c>
      <c r="I19" s="34" t="s">
        <v>63</v>
      </c>
      <c r="J19" s="34" t="s">
        <v>116</v>
      </c>
      <c r="K19" s="34" t="s">
        <v>117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42948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38.25">
      <c r="A10" s="19" t="s">
        <v>52</v>
      </c>
      <c r="B10" s="19" t="s">
        <v>57</v>
      </c>
      <c r="C10" s="19" t="s">
        <v>58</v>
      </c>
      <c r="D10" s="26" t="s">
        <v>59</v>
      </c>
      <c r="E10" s="20" t="s">
        <v>60</v>
      </c>
      <c r="F10" s="14" t="s">
        <v>61</v>
      </c>
      <c r="G10" s="21" t="s">
        <v>36</v>
      </c>
      <c r="H10" s="19" t="s">
        <v>37</v>
      </c>
      <c r="I10" s="19" t="s">
        <v>38</v>
      </c>
      <c r="J10" s="19" t="s">
        <v>62</v>
      </c>
      <c r="K10" s="22" t="s">
        <v>63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>
      <c r="A11" s="19" t="s">
        <v>52</v>
      </c>
      <c r="B11" s="12" t="s">
        <v>64</v>
      </c>
      <c r="C11" s="12" t="s">
        <v>65</v>
      </c>
      <c r="D11" s="26" t="s">
        <v>66</v>
      </c>
      <c r="E11" s="14" t="s">
        <v>67</v>
      </c>
      <c r="F11" s="14" t="s">
        <v>68</v>
      </c>
      <c r="G11" s="21" t="s">
        <v>36</v>
      </c>
      <c r="H11" s="19" t="s">
        <v>37</v>
      </c>
      <c r="I11" s="19" t="s">
        <v>38</v>
      </c>
      <c r="J11" s="19" t="s">
        <v>39</v>
      </c>
      <c r="K11" s="22" t="s">
        <v>40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26" t="s">
        <v>69</v>
      </c>
      <c r="E12" s="14" t="s">
        <v>47</v>
      </c>
      <c r="F12" s="14" t="s">
        <v>70</v>
      </c>
      <c r="G12" s="21" t="s">
        <v>36</v>
      </c>
      <c r="H12" s="19" t="s">
        <v>37</v>
      </c>
      <c r="I12" s="19" t="s">
        <v>38</v>
      </c>
      <c r="J12" s="19" t="s">
        <v>39</v>
      </c>
      <c r="K12" s="22" t="s">
        <v>40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>
      <c r="A13" s="19" t="s">
        <v>52</v>
      </c>
      <c r="B13" s="12" t="s">
        <v>64</v>
      </c>
      <c r="C13" s="12" t="s">
        <v>71</v>
      </c>
      <c r="D13" s="26" t="s">
        <v>72</v>
      </c>
      <c r="E13" s="14" t="s">
        <v>73</v>
      </c>
      <c r="F13" s="14" t="s">
        <v>68</v>
      </c>
      <c r="G13" s="21" t="s">
        <v>36</v>
      </c>
      <c r="H13" s="19" t="s">
        <v>37</v>
      </c>
      <c r="I13" s="19" t="s">
        <v>38</v>
      </c>
      <c r="J13" s="19" t="s">
        <v>39</v>
      </c>
      <c r="K13" s="22" t="s">
        <v>40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>
      <c r="A14" s="12" t="s">
        <v>31</v>
      </c>
      <c r="B14" s="12" t="s">
        <v>32</v>
      </c>
      <c r="C14" s="12" t="s">
        <v>33</v>
      </c>
      <c r="D14" s="26" t="s">
        <v>74</v>
      </c>
      <c r="E14" s="14" t="s">
        <v>34</v>
      </c>
      <c r="F14" s="14" t="s">
        <v>75</v>
      </c>
      <c r="G14" s="21" t="s">
        <v>36</v>
      </c>
      <c r="H14" s="19" t="s">
        <v>37</v>
      </c>
      <c r="I14" s="19" t="s">
        <v>38</v>
      </c>
      <c r="J14" s="19" t="s">
        <v>39</v>
      </c>
      <c r="K14" s="22" t="s">
        <v>40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>
      <c r="A15" s="12" t="s">
        <v>44</v>
      </c>
      <c r="B15" s="12" t="s">
        <v>44</v>
      </c>
      <c r="C15" s="12" t="s">
        <v>76</v>
      </c>
      <c r="D15" s="26" t="s">
        <v>77</v>
      </c>
      <c r="E15" s="14" t="s">
        <v>78</v>
      </c>
      <c r="F15" s="14" t="s">
        <v>75</v>
      </c>
      <c r="G15" s="21" t="s">
        <v>36</v>
      </c>
      <c r="H15" s="19" t="s">
        <v>37</v>
      </c>
      <c r="I15" s="19" t="s">
        <v>38</v>
      </c>
      <c r="J15" s="19" t="s">
        <v>39</v>
      </c>
      <c r="K15" s="22" t="s">
        <v>40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>
      <c r="A16" s="12" t="s">
        <v>31</v>
      </c>
      <c r="B16" s="12" t="s">
        <v>31</v>
      </c>
      <c r="C16" s="12" t="s">
        <v>49</v>
      </c>
      <c r="D16" s="26" t="s">
        <v>77</v>
      </c>
      <c r="E16" s="14" t="s">
        <v>50</v>
      </c>
      <c r="F16" s="14" t="s">
        <v>75</v>
      </c>
      <c r="G16" s="21" t="s">
        <v>36</v>
      </c>
      <c r="H16" s="19" t="s">
        <v>37</v>
      </c>
      <c r="I16" s="19" t="s">
        <v>38</v>
      </c>
      <c r="J16" s="19" t="s">
        <v>39</v>
      </c>
      <c r="K16" s="22" t="s">
        <v>40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>
      <c r="A17" s="12" t="s">
        <v>44</v>
      </c>
      <c r="B17" s="12" t="s">
        <v>44</v>
      </c>
      <c r="C17" s="12" t="s">
        <v>79</v>
      </c>
      <c r="D17" s="26" t="s">
        <v>77</v>
      </c>
      <c r="E17" s="14" t="s">
        <v>80</v>
      </c>
      <c r="F17" s="14" t="s">
        <v>75</v>
      </c>
      <c r="G17" s="21" t="s">
        <v>36</v>
      </c>
      <c r="H17" s="19" t="s">
        <v>37</v>
      </c>
      <c r="I17" s="19" t="s">
        <v>38</v>
      </c>
      <c r="J17" s="19" t="s">
        <v>39</v>
      </c>
      <c r="K17" s="22" t="s">
        <v>40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>
      <c r="A18" s="12" t="s">
        <v>31</v>
      </c>
      <c r="B18" s="12" t="s">
        <v>81</v>
      </c>
      <c r="C18" s="12" t="s">
        <v>82</v>
      </c>
      <c r="D18" s="26" t="s">
        <v>83</v>
      </c>
      <c r="E18" s="14" t="s">
        <v>84</v>
      </c>
      <c r="F18" s="14" t="s">
        <v>85</v>
      </c>
      <c r="G18" s="21" t="s">
        <v>36</v>
      </c>
      <c r="H18" s="19" t="s">
        <v>37</v>
      </c>
      <c r="I18" s="19" t="s">
        <v>38</v>
      </c>
      <c r="J18" s="19" t="s">
        <v>39</v>
      </c>
      <c r="K18" s="22" t="s">
        <v>40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>
      <c r="A19" s="12" t="s">
        <v>52</v>
      </c>
      <c r="B19" s="12" t="s">
        <v>52</v>
      </c>
      <c r="C19" s="12" t="s">
        <v>86</v>
      </c>
      <c r="D19" s="26" t="s">
        <v>77</v>
      </c>
      <c r="E19" s="14" t="s">
        <v>87</v>
      </c>
      <c r="F19" s="14" t="s">
        <v>75</v>
      </c>
      <c r="G19" s="21" t="s">
        <v>36</v>
      </c>
      <c r="H19" s="19" t="s">
        <v>37</v>
      </c>
      <c r="I19" s="19" t="s">
        <v>38</v>
      </c>
      <c r="J19" s="19" t="s">
        <v>39</v>
      </c>
      <c r="K19" s="22" t="s">
        <v>40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>
      <c r="A20" s="12" t="s">
        <v>52</v>
      </c>
      <c r="B20" s="12" t="s">
        <v>53</v>
      </c>
      <c r="C20" s="12" t="s">
        <v>54</v>
      </c>
      <c r="D20" s="26" t="s">
        <v>88</v>
      </c>
      <c r="E20" s="14" t="s">
        <v>55</v>
      </c>
      <c r="F20" s="14" t="s">
        <v>89</v>
      </c>
      <c r="G20" s="21" t="s">
        <v>36</v>
      </c>
      <c r="H20" s="19" t="s">
        <v>37</v>
      </c>
      <c r="I20" s="19" t="s">
        <v>38</v>
      </c>
      <c r="J20" s="19" t="s">
        <v>39</v>
      </c>
      <c r="K20" s="22" t="s">
        <v>40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>
      <c r="A21" s="12" t="s">
        <v>52</v>
      </c>
      <c r="B21" s="12" t="s">
        <v>53</v>
      </c>
      <c r="C21" s="12" t="s">
        <v>54</v>
      </c>
      <c r="D21" s="26" t="s">
        <v>88</v>
      </c>
      <c r="E21" s="14" t="s">
        <v>55</v>
      </c>
      <c r="F21" s="14" t="s">
        <v>90</v>
      </c>
      <c r="G21" s="21" t="s">
        <v>36</v>
      </c>
      <c r="H21" s="19" t="s">
        <v>37</v>
      </c>
      <c r="I21" s="19" t="s">
        <v>38</v>
      </c>
      <c r="J21" s="19" t="s">
        <v>39</v>
      </c>
      <c r="K21" s="22" t="s">
        <v>40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>
      <c r="A22" s="12" t="s">
        <v>52</v>
      </c>
      <c r="B22" s="12" t="s">
        <v>52</v>
      </c>
      <c r="C22" s="12" t="s">
        <v>86</v>
      </c>
      <c r="D22" s="26" t="s">
        <v>77</v>
      </c>
      <c r="E22" s="14" t="s">
        <v>87</v>
      </c>
      <c r="F22" s="14" t="s">
        <v>90</v>
      </c>
      <c r="G22" s="21" t="s">
        <v>36</v>
      </c>
      <c r="H22" s="19" t="s">
        <v>37</v>
      </c>
      <c r="I22" s="19" t="s">
        <v>38</v>
      </c>
      <c r="J22" s="19" t="s">
        <v>39</v>
      </c>
      <c r="K22" s="22" t="s">
        <v>40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43556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253</v>
      </c>
      <c r="B10" s="34" t="s">
        <v>253</v>
      </c>
      <c r="C10" s="34" t="s">
        <v>320</v>
      </c>
      <c r="D10" s="56" t="s">
        <v>321</v>
      </c>
      <c r="E10" s="20" t="s">
        <v>343</v>
      </c>
      <c r="F10" s="34" t="s">
        <v>418</v>
      </c>
      <c r="G10" s="34" t="s">
        <v>36</v>
      </c>
      <c r="H10" s="34" t="s">
        <v>37</v>
      </c>
      <c r="I10" s="34" t="s">
        <v>38</v>
      </c>
      <c r="J10" s="34" t="s">
        <v>62</v>
      </c>
      <c r="K10" s="34" t="s">
        <v>63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8.25">
      <c r="A11" s="34" t="s">
        <v>253</v>
      </c>
      <c r="B11" s="34" t="s">
        <v>212</v>
      </c>
      <c r="C11" s="34" t="s">
        <v>387</v>
      </c>
      <c r="D11" s="56" t="s">
        <v>388</v>
      </c>
      <c r="E11" s="20" t="s">
        <v>34</v>
      </c>
      <c r="F11" s="34" t="s">
        <v>419</v>
      </c>
      <c r="G11" s="34" t="s">
        <v>36</v>
      </c>
      <c r="H11" s="34" t="s">
        <v>37</v>
      </c>
      <c r="I11" s="34" t="s">
        <v>38</v>
      </c>
      <c r="J11" s="34" t="s">
        <v>104</v>
      </c>
      <c r="K11" s="34" t="s">
        <v>105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>
      <c r="A12" s="34" t="s">
        <v>253</v>
      </c>
      <c r="B12" s="34" t="s">
        <v>253</v>
      </c>
      <c r="C12" s="34" t="s">
        <v>320</v>
      </c>
      <c r="D12" s="56" t="s">
        <v>321</v>
      </c>
      <c r="E12" s="20" t="s">
        <v>343</v>
      </c>
      <c r="F12" s="34" t="s">
        <v>420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43564</v>
      </c>
      <c r="M12" s="62" t="s">
        <v>421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420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43564</v>
      </c>
      <c r="M13" s="62" t="s">
        <v>421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.5">
      <c r="A14" s="34" t="s">
        <v>371</v>
      </c>
      <c r="B14" s="34" t="s">
        <v>396</v>
      </c>
      <c r="C14" s="34" t="s">
        <v>267</v>
      </c>
      <c r="D14" s="29" t="s">
        <v>145</v>
      </c>
      <c r="E14" s="20" t="s">
        <v>399</v>
      </c>
      <c r="F14" s="34" t="s">
        <v>422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.5">
      <c r="A15" s="34" t="s">
        <v>371</v>
      </c>
      <c r="B15" s="34" t="s">
        <v>371</v>
      </c>
      <c r="C15" s="34" t="s">
        <v>137</v>
      </c>
      <c r="D15" s="29" t="s">
        <v>138</v>
      </c>
      <c r="E15" s="20" t="s">
        <v>343</v>
      </c>
      <c r="F15" s="34" t="s">
        <v>423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.5">
      <c r="A16" s="34" t="s">
        <v>253</v>
      </c>
      <c r="B16" s="34" t="s">
        <v>253</v>
      </c>
      <c r="C16" s="34" t="s">
        <v>320</v>
      </c>
      <c r="D16" s="56" t="s">
        <v>321</v>
      </c>
      <c r="E16" s="20" t="s">
        <v>343</v>
      </c>
      <c r="F16" s="34" t="s">
        <v>418</v>
      </c>
      <c r="G16" s="34" t="s">
        <v>36</v>
      </c>
      <c r="H16" s="34" t="s">
        <v>37</v>
      </c>
      <c r="I16" s="34" t="s">
        <v>38</v>
      </c>
      <c r="J16" s="34" t="s">
        <v>424</v>
      </c>
      <c r="K16" s="34" t="s">
        <v>425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43586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231</v>
      </c>
      <c r="B10" s="34" t="s">
        <v>221</v>
      </c>
      <c r="C10" s="34" t="s">
        <v>54</v>
      </c>
      <c r="D10" s="29" t="s">
        <v>88</v>
      </c>
      <c r="E10" s="20" t="s">
        <v>55</v>
      </c>
      <c r="F10" s="34" t="s">
        <v>426</v>
      </c>
      <c r="G10" s="34" t="s">
        <v>36</v>
      </c>
      <c r="H10" s="34" t="s">
        <v>37</v>
      </c>
      <c r="I10" s="34" t="s">
        <v>38</v>
      </c>
      <c r="J10" s="34" t="s">
        <v>424</v>
      </c>
      <c r="K10" s="34" t="s">
        <v>427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.5">
      <c r="A11" s="34" t="s">
        <v>231</v>
      </c>
      <c r="B11" s="34" t="s">
        <v>215</v>
      </c>
      <c r="C11" s="34" t="s">
        <v>58</v>
      </c>
      <c r="D11" s="56" t="s">
        <v>59</v>
      </c>
      <c r="E11" s="20" t="s">
        <v>428</v>
      </c>
      <c r="F11" s="34" t="s">
        <v>429</v>
      </c>
      <c r="G11" s="34" t="s">
        <v>36</v>
      </c>
      <c r="H11" s="34" t="s">
        <v>37</v>
      </c>
      <c r="I11" s="34" t="s">
        <v>38</v>
      </c>
      <c r="J11" s="34" t="s">
        <v>62</v>
      </c>
      <c r="K11" s="34" t="s">
        <v>63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>
      <c r="A12" s="34" t="s">
        <v>253</v>
      </c>
      <c r="B12" s="34" t="s">
        <v>253</v>
      </c>
      <c r="C12" s="34" t="s">
        <v>223</v>
      </c>
      <c r="D12" s="29" t="s">
        <v>77</v>
      </c>
      <c r="E12" s="20" t="s">
        <v>50</v>
      </c>
      <c r="F12" s="34" t="s">
        <v>430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.5">
      <c r="A13" s="34" t="s">
        <v>253</v>
      </c>
      <c r="B13" s="34" t="s">
        <v>253</v>
      </c>
      <c r="C13" s="34" t="s">
        <v>320</v>
      </c>
      <c r="D13" s="56" t="s">
        <v>321</v>
      </c>
      <c r="E13" s="20" t="s">
        <v>343</v>
      </c>
      <c r="F13" s="34" t="s">
        <v>430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63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>
      <c r="A14" s="34" t="s">
        <v>231</v>
      </c>
      <c r="B14" s="34" t="s">
        <v>229</v>
      </c>
      <c r="C14" s="34" t="s">
        <v>246</v>
      </c>
      <c r="D14" s="29" t="s">
        <v>247</v>
      </c>
      <c r="E14" s="20" t="s">
        <v>341</v>
      </c>
      <c r="F14" s="34" t="s">
        <v>431</v>
      </c>
      <c r="G14" s="34" t="s">
        <v>36</v>
      </c>
      <c r="H14" s="34" t="s">
        <v>37</v>
      </c>
      <c r="I14" s="34" t="s">
        <v>38</v>
      </c>
      <c r="J14" s="34" t="s">
        <v>409</v>
      </c>
      <c r="K14" s="34" t="s">
        <v>410</v>
      </c>
      <c r="L14" s="62">
        <v>43605</v>
      </c>
      <c r="M14" s="62" t="s">
        <v>432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1">
      <c r="A15" s="34" t="s">
        <v>253</v>
      </c>
      <c r="B15" s="34" t="s">
        <v>259</v>
      </c>
      <c r="C15" s="34" t="s">
        <v>433</v>
      </c>
      <c r="D15" s="29" t="s">
        <v>434</v>
      </c>
      <c r="E15" s="20" t="s">
        <v>435</v>
      </c>
      <c r="F15" s="34" t="s">
        <v>436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8.25">
      <c r="A16" s="34" t="s">
        <v>371</v>
      </c>
      <c r="B16" s="34" t="s">
        <v>371</v>
      </c>
      <c r="C16" s="34" t="s">
        <v>79</v>
      </c>
      <c r="D16" s="29" t="s">
        <v>77</v>
      </c>
      <c r="E16" s="20" t="s">
        <v>80</v>
      </c>
      <c r="F16" s="34" t="s">
        <v>437</v>
      </c>
      <c r="G16" s="34" t="s">
        <v>36</v>
      </c>
      <c r="H16" s="34" t="s">
        <v>37</v>
      </c>
      <c r="I16" s="34" t="s">
        <v>38</v>
      </c>
      <c r="J16" s="34" t="s">
        <v>39</v>
      </c>
      <c r="K16" s="34" t="s">
        <v>40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.5">
      <c r="A17" s="34" t="s">
        <v>253</v>
      </c>
      <c r="B17" s="34" t="s">
        <v>253</v>
      </c>
      <c r="C17" s="34" t="s">
        <v>223</v>
      </c>
      <c r="D17" s="29" t="s">
        <v>77</v>
      </c>
      <c r="E17" s="20" t="s">
        <v>50</v>
      </c>
      <c r="F17" s="34" t="s">
        <v>438</v>
      </c>
      <c r="G17" s="34" t="s">
        <v>36</v>
      </c>
      <c r="H17" s="34" t="s">
        <v>37</v>
      </c>
      <c r="I17" s="34" t="s">
        <v>38</v>
      </c>
      <c r="J17" s="34" t="s">
        <v>104</v>
      </c>
      <c r="K17" s="34" t="s">
        <v>105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5.5">
      <c r="A18" s="34" t="s">
        <v>231</v>
      </c>
      <c r="B18" s="34" t="s">
        <v>310</v>
      </c>
      <c r="C18" s="34" t="s">
        <v>439</v>
      </c>
      <c r="D18" s="56" t="s">
        <v>440</v>
      </c>
      <c r="E18" s="20" t="s">
        <v>441</v>
      </c>
      <c r="F18" s="34" t="s">
        <v>442</v>
      </c>
      <c r="G18" s="34" t="s">
        <v>36</v>
      </c>
      <c r="H18" s="34" t="s">
        <v>37</v>
      </c>
      <c r="I18" s="34" t="s">
        <v>38</v>
      </c>
      <c r="J18" s="34" t="s">
        <v>424</v>
      </c>
      <c r="K18" s="34" t="s">
        <v>427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5.5">
      <c r="A19" s="34" t="s">
        <v>231</v>
      </c>
      <c r="B19" s="34" t="s">
        <v>310</v>
      </c>
      <c r="C19" s="34" t="s">
        <v>443</v>
      </c>
      <c r="D19" s="56" t="s">
        <v>444</v>
      </c>
      <c r="E19" s="20" t="s">
        <v>441</v>
      </c>
      <c r="F19" s="34" t="s">
        <v>442</v>
      </c>
      <c r="G19" s="34" t="s">
        <v>36</v>
      </c>
      <c r="H19" s="34" t="s">
        <v>37</v>
      </c>
      <c r="I19" s="34" t="s">
        <v>38</v>
      </c>
      <c r="J19" s="34" t="s">
        <v>424</v>
      </c>
      <c r="K19" s="34" t="s">
        <v>427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.5">
      <c r="A20" s="34" t="s">
        <v>253</v>
      </c>
      <c r="B20" s="34" t="s">
        <v>288</v>
      </c>
      <c r="C20" s="34" t="s">
        <v>378</v>
      </c>
      <c r="D20" s="29" t="s">
        <v>379</v>
      </c>
      <c r="E20" s="20" t="s">
        <v>380</v>
      </c>
      <c r="F20" s="34" t="s">
        <v>445</v>
      </c>
      <c r="G20" s="34" t="s">
        <v>36</v>
      </c>
      <c r="H20" s="34" t="s">
        <v>37</v>
      </c>
      <c r="I20" s="34" t="s">
        <v>38</v>
      </c>
      <c r="J20" s="34" t="s">
        <v>62</v>
      </c>
      <c r="K20" s="34" t="s">
        <v>63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8.25">
      <c r="A21" s="34" t="s">
        <v>371</v>
      </c>
      <c r="B21" s="34" t="s">
        <v>273</v>
      </c>
      <c r="C21" s="34" t="s">
        <v>195</v>
      </c>
      <c r="D21" s="29" t="s">
        <v>196</v>
      </c>
      <c r="E21" s="20" t="s">
        <v>197</v>
      </c>
      <c r="F21" s="34" t="s">
        <v>446</v>
      </c>
      <c r="G21" s="34" t="s">
        <v>36</v>
      </c>
      <c r="H21" s="34" t="s">
        <v>37</v>
      </c>
      <c r="I21" s="34" t="s">
        <v>38</v>
      </c>
      <c r="J21" s="34" t="s">
        <v>334</v>
      </c>
      <c r="K21" s="34" t="s">
        <v>117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.5">
      <c r="A22" s="34" t="s">
        <v>253</v>
      </c>
      <c r="B22" s="34" t="s">
        <v>212</v>
      </c>
      <c r="C22" s="34" t="s">
        <v>387</v>
      </c>
      <c r="D22" s="56" t="s">
        <v>388</v>
      </c>
      <c r="E22" s="20" t="s">
        <v>34</v>
      </c>
      <c r="F22" s="34" t="s">
        <v>429</v>
      </c>
      <c r="G22" s="34" t="s">
        <v>36</v>
      </c>
      <c r="H22" s="34" t="s">
        <v>37</v>
      </c>
      <c r="I22" s="34" t="s">
        <v>38</v>
      </c>
      <c r="J22" s="34" t="s">
        <v>62</v>
      </c>
      <c r="K22" s="34" t="s">
        <v>63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43617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14.25">
      <c r="A10" s="34" t="s">
        <v>253</v>
      </c>
      <c r="B10" s="34" t="s">
        <v>253</v>
      </c>
      <c r="C10" s="34" t="s">
        <v>320</v>
      </c>
      <c r="D10" s="29"/>
      <c r="E10" s="20"/>
      <c r="F10" s="34" t="s">
        <v>447</v>
      </c>
      <c r="G10" s="34" t="s">
        <v>36</v>
      </c>
      <c r="H10" s="34" t="s">
        <v>37</v>
      </c>
      <c r="I10" s="34" t="s">
        <v>38</v>
      </c>
      <c r="J10" s="34" t="s">
        <v>37</v>
      </c>
      <c r="K10" s="34" t="s">
        <v>391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4.25">
      <c r="A11" s="34" t="s">
        <v>253</v>
      </c>
      <c r="B11" s="34" t="s">
        <v>253</v>
      </c>
      <c r="C11" s="34" t="s">
        <v>223</v>
      </c>
      <c r="D11" s="56"/>
      <c r="E11" s="20"/>
      <c r="F11" s="34" t="s">
        <v>51</v>
      </c>
      <c r="G11" s="34" t="s">
        <v>36</v>
      </c>
      <c r="H11" s="34" t="s">
        <v>37</v>
      </c>
      <c r="I11" s="34" t="s">
        <v>38</v>
      </c>
      <c r="J11" s="34" t="s">
        <v>37</v>
      </c>
      <c r="K11" s="34" t="s">
        <v>105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>
      <c r="A12" s="34" t="s">
        <v>371</v>
      </c>
      <c r="B12" s="34" t="s">
        <v>240</v>
      </c>
      <c r="C12" s="34" t="s">
        <v>448</v>
      </c>
      <c r="D12" s="29"/>
      <c r="E12" s="20"/>
      <c r="F12" s="34" t="s">
        <v>449</v>
      </c>
      <c r="G12" s="34" t="s">
        <v>36</v>
      </c>
      <c r="H12" s="34" t="s">
        <v>37</v>
      </c>
      <c r="I12" s="34" t="s">
        <v>38</v>
      </c>
      <c r="J12" s="34" t="s">
        <v>127</v>
      </c>
      <c r="K12" s="34" t="s">
        <v>63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.5">
      <c r="A13" s="34" t="s">
        <v>231</v>
      </c>
      <c r="B13" s="34" t="s">
        <v>450</v>
      </c>
      <c r="C13" s="34" t="s">
        <v>451</v>
      </c>
      <c r="D13" s="56"/>
      <c r="E13" s="20"/>
      <c r="F13" s="34" t="s">
        <v>230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>
      <c r="A14" s="34" t="s">
        <v>231</v>
      </c>
      <c r="B14" s="34" t="s">
        <v>231</v>
      </c>
      <c r="C14" s="34" t="s">
        <v>412</v>
      </c>
      <c r="D14" s="29"/>
      <c r="E14" s="20"/>
      <c r="F14" s="34" t="s">
        <v>230</v>
      </c>
      <c r="G14" s="34" t="s">
        <v>36</v>
      </c>
      <c r="H14" s="34" t="s">
        <v>37</v>
      </c>
      <c r="I14" s="34" t="s">
        <v>38</v>
      </c>
      <c r="J14" s="34" t="s">
        <v>39</v>
      </c>
      <c r="K14" s="34" t="s">
        <v>40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.5">
      <c r="A15" s="34" t="s">
        <v>371</v>
      </c>
      <c r="B15" s="34" t="s">
        <v>371</v>
      </c>
      <c r="C15" s="34" t="s">
        <v>79</v>
      </c>
      <c r="D15" s="29"/>
      <c r="E15" s="20"/>
      <c r="F15" s="34" t="s">
        <v>230</v>
      </c>
      <c r="G15" s="34" t="s">
        <v>36</v>
      </c>
      <c r="H15" s="34" t="s">
        <v>37</v>
      </c>
      <c r="I15" s="34" t="s">
        <v>38</v>
      </c>
      <c r="J15" s="34" t="s">
        <v>116</v>
      </c>
      <c r="K15" s="34" t="s">
        <v>117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.5">
      <c r="A16" s="34" t="s">
        <v>371</v>
      </c>
      <c r="B16" s="34" t="s">
        <v>371</v>
      </c>
      <c r="C16" s="34" t="s">
        <v>137</v>
      </c>
      <c r="D16" s="29"/>
      <c r="E16" s="20"/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116</v>
      </c>
      <c r="K16" s="34" t="s">
        <v>117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>
      <c r="A17" s="34" t="s">
        <v>253</v>
      </c>
      <c r="B17" s="34" t="s">
        <v>259</v>
      </c>
      <c r="C17" s="34" t="s">
        <v>320</v>
      </c>
      <c r="D17" s="29"/>
      <c r="E17" s="20"/>
      <c r="F17" s="34" t="s">
        <v>230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25">
      <c r="A18" s="34" t="s">
        <v>231</v>
      </c>
      <c r="B18" s="34" t="s">
        <v>221</v>
      </c>
      <c r="C18" s="34" t="s">
        <v>54</v>
      </c>
      <c r="D18" s="56"/>
      <c r="E18" s="20"/>
      <c r="F18" s="34" t="s">
        <v>230</v>
      </c>
      <c r="G18" s="34" t="s">
        <v>36</v>
      </c>
      <c r="H18" s="34" t="s">
        <v>37</v>
      </c>
      <c r="I18" s="34" t="s">
        <v>38</v>
      </c>
      <c r="J18" s="34" t="s">
        <v>39</v>
      </c>
      <c r="K18" s="34" t="s">
        <v>40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.5">
      <c r="A19" s="34" t="s">
        <v>371</v>
      </c>
      <c r="B19" s="34" t="s">
        <v>226</v>
      </c>
      <c r="C19" s="34" t="s">
        <v>206</v>
      </c>
      <c r="D19" s="56"/>
      <c r="E19" s="20"/>
      <c r="F19" s="34" t="s">
        <v>452</v>
      </c>
      <c r="G19" s="34" t="s">
        <v>36</v>
      </c>
      <c r="H19" s="34" t="s">
        <v>37</v>
      </c>
      <c r="I19" s="34" t="s">
        <v>38</v>
      </c>
      <c r="J19" s="34" t="s">
        <v>39</v>
      </c>
      <c r="K19" s="34" t="s">
        <v>40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.5">
      <c r="A20" s="34" t="s">
        <v>371</v>
      </c>
      <c r="B20" s="34" t="s">
        <v>371</v>
      </c>
      <c r="C20" s="65" t="s">
        <v>79</v>
      </c>
      <c r="D20" s="51"/>
      <c r="E20" s="64"/>
      <c r="F20" s="65" t="s">
        <v>453</v>
      </c>
      <c r="G20" s="65" t="s">
        <v>36</v>
      </c>
      <c r="H20" s="65" t="s">
        <v>37</v>
      </c>
      <c r="I20" s="65" t="s">
        <v>38</v>
      </c>
      <c r="J20" s="65" t="s">
        <v>39</v>
      </c>
      <c r="K20" s="65" t="s">
        <v>40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25">
      <c r="A21" s="127" t="s">
        <v>253</v>
      </c>
      <c r="B21" s="127" t="s">
        <v>253</v>
      </c>
      <c r="C21" s="139" t="s">
        <v>320</v>
      </c>
      <c r="D21" s="137"/>
      <c r="E21" s="138"/>
      <c r="F21" s="139" t="s">
        <v>454</v>
      </c>
      <c r="G21" s="139" t="s">
        <v>36</v>
      </c>
      <c r="H21" s="53" t="s">
        <v>116</v>
      </c>
      <c r="I21" s="53" t="s">
        <v>117</v>
      </c>
      <c r="J21" s="53" t="s">
        <v>39</v>
      </c>
      <c r="K21" s="53" t="s">
        <v>40</v>
      </c>
      <c r="L21" s="69">
        <v>43629</v>
      </c>
      <c r="M21" s="69">
        <v>43630</v>
      </c>
      <c r="N21" s="141">
        <f>3129.35/2</f>
        <v>1564.675</v>
      </c>
      <c r="O21" s="141">
        <f>3129.35/2</f>
        <v>1564.675</v>
      </c>
      <c r="P21" s="141">
        <v>1925.28</v>
      </c>
      <c r="Q21" s="139">
        <v>2</v>
      </c>
      <c r="R21" s="141">
        <v>120</v>
      </c>
      <c r="S21" s="141">
        <v>0</v>
      </c>
      <c r="T21" s="141">
        <v>0</v>
      </c>
      <c r="U21" s="143">
        <f t="shared" ref="U21" si="4">(Q21*R21)+(S21*T21)</f>
        <v>240</v>
      </c>
      <c r="V21" s="146">
        <f t="shared" ref="V21" si="5">U21+P21</f>
        <v>2165.2799999999997</v>
      </c>
      <c r="W21" s="149">
        <f t="shared" si="3"/>
        <v>2165.2799999999997</v>
      </c>
      <c r="X21" s="141"/>
    </row>
    <row r="22" spans="1:24" ht="14.25">
      <c r="A22" s="142"/>
      <c r="B22" s="142"/>
      <c r="C22" s="139"/>
      <c r="D22" s="137"/>
      <c r="E22" s="138"/>
      <c r="F22" s="139"/>
      <c r="G22" s="139"/>
      <c r="H22" s="53" t="s">
        <v>39</v>
      </c>
      <c r="I22" s="53" t="s">
        <v>40</v>
      </c>
      <c r="J22" s="53" t="s">
        <v>127</v>
      </c>
      <c r="K22" s="53" t="s">
        <v>63</v>
      </c>
      <c r="L22" s="69">
        <v>43630</v>
      </c>
      <c r="M22" s="69">
        <v>43633</v>
      </c>
      <c r="N22" s="141"/>
      <c r="O22" s="141"/>
      <c r="P22" s="141"/>
      <c r="Q22" s="139"/>
      <c r="R22" s="141"/>
      <c r="S22" s="141"/>
      <c r="T22" s="141"/>
      <c r="U22" s="144"/>
      <c r="V22" s="147"/>
      <c r="W22" s="150"/>
      <c r="X22" s="141"/>
    </row>
    <row r="23" spans="1:24" ht="15" customHeight="1">
      <c r="A23" s="128"/>
      <c r="B23" s="128"/>
      <c r="C23" s="139"/>
      <c r="D23" s="137"/>
      <c r="E23" s="138"/>
      <c r="F23" s="139"/>
      <c r="G23" s="139"/>
      <c r="H23" s="53" t="s">
        <v>127</v>
      </c>
      <c r="I23" s="53" t="s">
        <v>63</v>
      </c>
      <c r="J23" s="53" t="s">
        <v>37</v>
      </c>
      <c r="K23" s="53" t="s">
        <v>38</v>
      </c>
      <c r="L23" s="69">
        <v>43633</v>
      </c>
      <c r="M23" s="69">
        <v>43633</v>
      </c>
      <c r="N23" s="141"/>
      <c r="O23" s="141"/>
      <c r="P23" s="141"/>
      <c r="Q23" s="139"/>
      <c r="R23" s="141"/>
      <c r="S23" s="141"/>
      <c r="T23" s="141"/>
      <c r="U23" s="145"/>
      <c r="V23" s="148"/>
      <c r="W23" s="151"/>
      <c r="X23" s="141"/>
    </row>
    <row r="24" spans="1:24" ht="45" customHeight="1">
      <c r="A24" s="34" t="s">
        <v>253</v>
      </c>
      <c r="B24" s="34" t="s">
        <v>322</v>
      </c>
      <c r="C24" s="34" t="s">
        <v>350</v>
      </c>
      <c r="D24" s="44"/>
      <c r="E24" s="44"/>
      <c r="F24" s="65" t="s">
        <v>455</v>
      </c>
      <c r="G24" s="65" t="s">
        <v>36</v>
      </c>
      <c r="H24" s="65" t="s">
        <v>37</v>
      </c>
      <c r="I24" s="65" t="s">
        <v>38</v>
      </c>
      <c r="J24" s="34" t="s">
        <v>39</v>
      </c>
      <c r="K24" s="34" t="s">
        <v>40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8.25">
      <c r="A25" s="34" t="s">
        <v>253</v>
      </c>
      <c r="B25" s="34" t="s">
        <v>322</v>
      </c>
      <c r="C25" s="34" t="s">
        <v>456</v>
      </c>
      <c r="D25" s="44"/>
      <c r="E25" s="44"/>
      <c r="F25" s="65" t="s">
        <v>455</v>
      </c>
      <c r="G25" s="65" t="s">
        <v>36</v>
      </c>
      <c r="H25" s="65" t="s">
        <v>37</v>
      </c>
      <c r="I25" s="65" t="s">
        <v>38</v>
      </c>
      <c r="J25" s="34" t="s">
        <v>39</v>
      </c>
      <c r="K25" s="34" t="s">
        <v>40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8.25">
      <c r="A26" s="34" t="s">
        <v>253</v>
      </c>
      <c r="B26" s="34" t="s">
        <v>322</v>
      </c>
      <c r="C26" s="34" t="s">
        <v>457</v>
      </c>
      <c r="D26" s="44"/>
      <c r="E26" s="44"/>
      <c r="F26" s="65" t="s">
        <v>455</v>
      </c>
      <c r="G26" s="65" t="s">
        <v>36</v>
      </c>
      <c r="H26" s="65" t="s">
        <v>37</v>
      </c>
      <c r="I26" s="65" t="s">
        <v>38</v>
      </c>
      <c r="J26" s="34" t="s">
        <v>39</v>
      </c>
      <c r="K26" s="34" t="s">
        <v>40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8.25">
      <c r="A27" s="34" t="s">
        <v>253</v>
      </c>
      <c r="B27" s="34" t="s">
        <v>322</v>
      </c>
      <c r="C27" s="34" t="s">
        <v>458</v>
      </c>
      <c r="D27" s="44"/>
      <c r="E27" s="44"/>
      <c r="F27" s="65" t="s">
        <v>455</v>
      </c>
      <c r="G27" s="65" t="s">
        <v>36</v>
      </c>
      <c r="H27" s="65" t="s">
        <v>37</v>
      </c>
      <c r="I27" s="65" t="s">
        <v>38</v>
      </c>
      <c r="J27" s="34" t="s">
        <v>39</v>
      </c>
      <c r="K27" s="34" t="s">
        <v>40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8.25">
      <c r="A28" s="34" t="s">
        <v>253</v>
      </c>
      <c r="B28" s="34" t="s">
        <v>288</v>
      </c>
      <c r="C28" s="34" t="s">
        <v>459</v>
      </c>
      <c r="D28" s="44"/>
      <c r="E28" s="44"/>
      <c r="F28" s="65" t="s">
        <v>455</v>
      </c>
      <c r="G28" s="65" t="s">
        <v>36</v>
      </c>
      <c r="H28" s="65" t="s">
        <v>37</v>
      </c>
      <c r="I28" s="65" t="s">
        <v>38</v>
      </c>
      <c r="J28" s="34" t="s">
        <v>39</v>
      </c>
      <c r="K28" s="34" t="s">
        <v>40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8.25">
      <c r="A29" s="34" t="s">
        <v>253</v>
      </c>
      <c r="B29" s="34" t="s">
        <v>288</v>
      </c>
      <c r="C29" s="34" t="s">
        <v>378</v>
      </c>
      <c r="D29" s="44"/>
      <c r="E29" s="44"/>
      <c r="F29" s="53" t="s">
        <v>455</v>
      </c>
      <c r="G29" s="53" t="s">
        <v>36</v>
      </c>
      <c r="H29" s="53" t="s">
        <v>37</v>
      </c>
      <c r="I29" s="53" t="s">
        <v>38</v>
      </c>
      <c r="J29" s="34" t="s">
        <v>39</v>
      </c>
      <c r="K29" s="34" t="s">
        <v>40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72">
        <v>43586</v>
      </c>
    </row>
    <row r="6" spans="1:47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47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152" t="s">
        <v>8</v>
      </c>
    </row>
    <row r="8" spans="1:47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371</v>
      </c>
      <c r="B10" s="97" t="s">
        <v>240</v>
      </c>
      <c r="C10" s="97" t="s">
        <v>448</v>
      </c>
      <c r="D10" s="29" t="s">
        <v>460</v>
      </c>
      <c r="E10" s="20" t="s">
        <v>60</v>
      </c>
      <c r="F10" s="53" t="s">
        <v>461</v>
      </c>
      <c r="G10" s="53" t="s">
        <v>36</v>
      </c>
      <c r="H10" s="53" t="s">
        <v>37</v>
      </c>
      <c r="I10" s="53" t="s">
        <v>38</v>
      </c>
      <c r="J10" s="53" t="s">
        <v>148</v>
      </c>
      <c r="K10" s="53" t="s">
        <v>183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371</v>
      </c>
      <c r="B11" s="97" t="s">
        <v>240</v>
      </c>
      <c r="C11" s="97" t="s">
        <v>140</v>
      </c>
      <c r="D11" s="29" t="s">
        <v>141</v>
      </c>
      <c r="E11" s="20" t="s">
        <v>411</v>
      </c>
      <c r="F11" s="53" t="s">
        <v>461</v>
      </c>
      <c r="G11" s="53" t="s">
        <v>36</v>
      </c>
      <c r="H11" s="53" t="s">
        <v>37</v>
      </c>
      <c r="I11" s="53" t="s">
        <v>38</v>
      </c>
      <c r="J11" s="53" t="s">
        <v>148</v>
      </c>
      <c r="K11" s="53" t="s">
        <v>183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53" t="s">
        <v>231</v>
      </c>
      <c r="B12" s="97" t="s">
        <v>221</v>
      </c>
      <c r="C12" s="97" t="s">
        <v>54</v>
      </c>
      <c r="D12" s="29" t="s">
        <v>88</v>
      </c>
      <c r="E12" s="20" t="s">
        <v>55</v>
      </c>
      <c r="F12" s="53" t="s">
        <v>461</v>
      </c>
      <c r="G12" s="53" t="s">
        <v>36</v>
      </c>
      <c r="H12" s="53" t="s">
        <v>37</v>
      </c>
      <c r="I12" s="53" t="s">
        <v>38</v>
      </c>
      <c r="J12" s="53" t="s">
        <v>148</v>
      </c>
      <c r="K12" s="53" t="s">
        <v>183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8.25">
      <c r="A13" s="53" t="s">
        <v>231</v>
      </c>
      <c r="B13" s="97" t="s">
        <v>462</v>
      </c>
      <c r="C13" s="97" t="s">
        <v>401</v>
      </c>
      <c r="D13" s="56" t="s">
        <v>402</v>
      </c>
      <c r="E13" s="66" t="s">
        <v>403</v>
      </c>
      <c r="F13" s="53" t="s">
        <v>463</v>
      </c>
      <c r="G13" s="53" t="s">
        <v>36</v>
      </c>
      <c r="H13" s="53" t="s">
        <v>37</v>
      </c>
      <c r="I13" s="53" t="s">
        <v>38</v>
      </c>
      <c r="J13" s="53" t="s">
        <v>464</v>
      </c>
      <c r="K13" s="53" t="s">
        <v>425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53" t="s">
        <v>231</v>
      </c>
      <c r="B14" s="97" t="s">
        <v>229</v>
      </c>
      <c r="C14" s="97" t="s">
        <v>246</v>
      </c>
      <c r="D14" s="56" t="s">
        <v>247</v>
      </c>
      <c r="E14" s="66" t="s">
        <v>341</v>
      </c>
      <c r="F14" s="53" t="s">
        <v>465</v>
      </c>
      <c r="G14" s="53" t="s">
        <v>36</v>
      </c>
      <c r="H14" s="53" t="s">
        <v>37</v>
      </c>
      <c r="I14" s="53" t="s">
        <v>38</v>
      </c>
      <c r="J14" s="53" t="s">
        <v>39</v>
      </c>
      <c r="K14" s="53" t="s">
        <v>40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 t="s">
        <v>371</v>
      </c>
      <c r="B15" s="97" t="s">
        <v>396</v>
      </c>
      <c r="C15" s="97" t="s">
        <v>466</v>
      </c>
      <c r="D15" s="56" t="s">
        <v>467</v>
      </c>
      <c r="E15" s="66" t="s">
        <v>468</v>
      </c>
      <c r="F15" s="53" t="s">
        <v>469</v>
      </c>
      <c r="G15" s="53" t="s">
        <v>36</v>
      </c>
      <c r="H15" s="53" t="s">
        <v>37</v>
      </c>
      <c r="I15" s="53" t="s">
        <v>38</v>
      </c>
      <c r="J15" s="53" t="s">
        <v>148</v>
      </c>
      <c r="K15" s="53" t="s">
        <v>183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8.25">
      <c r="A16" s="53" t="s">
        <v>371</v>
      </c>
      <c r="B16" s="97" t="s">
        <v>371</v>
      </c>
      <c r="C16" s="97" t="s">
        <v>79</v>
      </c>
      <c r="D16" s="29" t="s">
        <v>77</v>
      </c>
      <c r="E16" s="20" t="s">
        <v>80</v>
      </c>
      <c r="F16" s="53" t="s">
        <v>470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8.25">
      <c r="A17" s="53" t="s">
        <v>371</v>
      </c>
      <c r="B17" s="97" t="s">
        <v>226</v>
      </c>
      <c r="C17" s="97" t="s">
        <v>46</v>
      </c>
      <c r="D17" s="29" t="s">
        <v>69</v>
      </c>
      <c r="E17" s="20" t="s">
        <v>47</v>
      </c>
      <c r="F17" s="53" t="s">
        <v>471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>
      <c r="A18" s="53" t="s">
        <v>371</v>
      </c>
      <c r="B18" s="97" t="s">
        <v>226</v>
      </c>
      <c r="C18" s="97" t="s">
        <v>206</v>
      </c>
      <c r="D18" s="29" t="s">
        <v>207</v>
      </c>
      <c r="E18" s="20" t="s">
        <v>208</v>
      </c>
      <c r="F18" s="53" t="s">
        <v>472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371</v>
      </c>
      <c r="B19" s="97" t="s">
        <v>226</v>
      </c>
      <c r="C19" s="97" t="s">
        <v>473</v>
      </c>
      <c r="D19" s="29" t="s">
        <v>474</v>
      </c>
      <c r="E19" s="20" t="s">
        <v>475</v>
      </c>
      <c r="F19" s="53" t="s">
        <v>472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371</v>
      </c>
      <c r="B20" s="97" t="s">
        <v>396</v>
      </c>
      <c r="C20" s="97" t="s">
        <v>466</v>
      </c>
      <c r="D20" s="56" t="s">
        <v>467</v>
      </c>
      <c r="E20" s="66" t="s">
        <v>468</v>
      </c>
      <c r="F20" s="53" t="s">
        <v>470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.5">
      <c r="A21" s="53" t="s">
        <v>371</v>
      </c>
      <c r="B21" s="97" t="s">
        <v>396</v>
      </c>
      <c r="C21" s="97" t="s">
        <v>466</v>
      </c>
      <c r="D21" s="56" t="s">
        <v>467</v>
      </c>
      <c r="E21" s="66" t="s">
        <v>468</v>
      </c>
      <c r="F21" s="53" t="s">
        <v>476</v>
      </c>
      <c r="G21" s="53" t="s">
        <v>36</v>
      </c>
      <c r="H21" s="53" t="s">
        <v>37</v>
      </c>
      <c r="I21" s="53" t="s">
        <v>38</v>
      </c>
      <c r="J21" s="53" t="s">
        <v>116</v>
      </c>
      <c r="K21" s="53" t="s">
        <v>117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.5">
      <c r="A22" s="53" t="s">
        <v>371</v>
      </c>
      <c r="B22" s="97" t="s">
        <v>396</v>
      </c>
      <c r="C22" s="97" t="s">
        <v>267</v>
      </c>
      <c r="D22" s="29" t="s">
        <v>145</v>
      </c>
      <c r="E22" s="20" t="s">
        <v>399</v>
      </c>
      <c r="F22" s="53" t="s">
        <v>470</v>
      </c>
      <c r="G22" s="53" t="s">
        <v>36</v>
      </c>
      <c r="H22" s="53" t="s">
        <v>37</v>
      </c>
      <c r="I22" s="53" t="s">
        <v>38</v>
      </c>
      <c r="J22" s="53" t="s">
        <v>318</v>
      </c>
      <c r="K22" s="53" t="s">
        <v>40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8.25">
      <c r="A23" s="53" t="s">
        <v>371</v>
      </c>
      <c r="B23" s="97" t="s">
        <v>240</v>
      </c>
      <c r="C23" s="97" t="s">
        <v>477</v>
      </c>
      <c r="D23" s="29" t="s">
        <v>135</v>
      </c>
      <c r="E23" s="20" t="s">
        <v>478</v>
      </c>
      <c r="F23" s="53" t="s">
        <v>479</v>
      </c>
      <c r="G23" s="53" t="s">
        <v>36</v>
      </c>
      <c r="H23" s="53" t="s">
        <v>37</v>
      </c>
      <c r="I23" s="53" t="s">
        <v>38</v>
      </c>
      <c r="J23" s="53" t="s">
        <v>318</v>
      </c>
      <c r="K23" s="53" t="s">
        <v>40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.5">
      <c r="A24" s="53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53" t="s">
        <v>479</v>
      </c>
      <c r="G24" s="53" t="s">
        <v>36</v>
      </c>
      <c r="H24" s="53" t="s">
        <v>37</v>
      </c>
      <c r="I24" s="53" t="s">
        <v>38</v>
      </c>
      <c r="J24" s="53" t="s">
        <v>318</v>
      </c>
      <c r="K24" s="53" t="s">
        <v>40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>
      <c r="A25" s="53" t="s">
        <v>371</v>
      </c>
      <c r="B25" s="97" t="s">
        <v>295</v>
      </c>
      <c r="C25" s="97" t="s">
        <v>480</v>
      </c>
      <c r="D25" s="29" t="s">
        <v>481</v>
      </c>
      <c r="E25" s="20" t="s">
        <v>475</v>
      </c>
      <c r="F25" s="53" t="s">
        <v>482</v>
      </c>
      <c r="G25" s="53" t="s">
        <v>36</v>
      </c>
      <c r="H25" s="53" t="s">
        <v>37</v>
      </c>
      <c r="I25" s="53" t="s">
        <v>38</v>
      </c>
      <c r="J25" s="53" t="s">
        <v>318</v>
      </c>
      <c r="K25" s="53" t="s">
        <v>40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1">
      <c r="A26" s="53" t="s">
        <v>371</v>
      </c>
      <c r="B26" s="97" t="s">
        <v>295</v>
      </c>
      <c r="C26" s="97" t="s">
        <v>483</v>
      </c>
      <c r="D26" s="29" t="s">
        <v>300</v>
      </c>
      <c r="E26" s="20" t="s">
        <v>484</v>
      </c>
      <c r="F26" s="53" t="s">
        <v>482</v>
      </c>
      <c r="G26" s="53" t="s">
        <v>36</v>
      </c>
      <c r="H26" s="53" t="s">
        <v>37</v>
      </c>
      <c r="I26" s="53" t="s">
        <v>38</v>
      </c>
      <c r="J26" s="53" t="s">
        <v>318</v>
      </c>
      <c r="K26" s="53" t="s">
        <v>40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.5">
      <c r="A27" s="53" t="s">
        <v>231</v>
      </c>
      <c r="B27" s="97" t="s">
        <v>221</v>
      </c>
      <c r="C27" s="97" t="s">
        <v>54</v>
      </c>
      <c r="D27" s="29" t="s">
        <v>88</v>
      </c>
      <c r="E27" s="20" t="s">
        <v>55</v>
      </c>
      <c r="F27" s="53" t="s">
        <v>485</v>
      </c>
      <c r="G27" s="53" t="s">
        <v>36</v>
      </c>
      <c r="H27" s="53" t="s">
        <v>37</v>
      </c>
      <c r="I27" s="53" t="s">
        <v>38</v>
      </c>
      <c r="J27" s="53" t="s">
        <v>116</v>
      </c>
      <c r="K27" s="53" t="s">
        <v>117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.5">
      <c r="A28" s="53" t="s">
        <v>253</v>
      </c>
      <c r="B28" s="97" t="s">
        <v>253</v>
      </c>
      <c r="C28" s="97" t="s">
        <v>320</v>
      </c>
      <c r="D28" s="56" t="s">
        <v>321</v>
      </c>
      <c r="E28" s="20" t="s">
        <v>343</v>
      </c>
      <c r="F28" s="53" t="s">
        <v>485</v>
      </c>
      <c r="G28" s="53" t="s">
        <v>36</v>
      </c>
      <c r="H28" s="53" t="s">
        <v>37</v>
      </c>
      <c r="I28" s="53" t="s">
        <v>38</v>
      </c>
      <c r="J28" s="53" t="s">
        <v>116</v>
      </c>
      <c r="K28" s="53" t="s">
        <v>117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.5">
      <c r="A29" s="53" t="s">
        <v>253</v>
      </c>
      <c r="B29" s="97" t="s">
        <v>253</v>
      </c>
      <c r="C29" s="97" t="s">
        <v>486</v>
      </c>
      <c r="D29" s="29" t="s">
        <v>77</v>
      </c>
      <c r="E29" s="20" t="s">
        <v>50</v>
      </c>
      <c r="F29" s="53" t="s">
        <v>487</v>
      </c>
      <c r="G29" s="53" t="s">
        <v>36</v>
      </c>
      <c r="H29" s="53" t="s">
        <v>37</v>
      </c>
      <c r="I29" s="53" t="s">
        <v>38</v>
      </c>
      <c r="J29" s="53" t="s">
        <v>318</v>
      </c>
      <c r="K29" s="53" t="s">
        <v>40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.5">
      <c r="A30" s="53" t="s">
        <v>253</v>
      </c>
      <c r="B30" s="97" t="s">
        <v>253</v>
      </c>
      <c r="C30" s="97" t="s">
        <v>320</v>
      </c>
      <c r="D30" s="56" t="s">
        <v>321</v>
      </c>
      <c r="E30" s="20" t="s">
        <v>343</v>
      </c>
      <c r="F30" s="53" t="s">
        <v>487</v>
      </c>
      <c r="G30" s="53" t="s">
        <v>36</v>
      </c>
      <c r="H30" s="53" t="s">
        <v>37</v>
      </c>
      <c r="I30" s="53" t="s">
        <v>38</v>
      </c>
      <c r="J30" s="53" t="s">
        <v>318</v>
      </c>
      <c r="K30" s="53" t="s">
        <v>40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.5">
      <c r="A31" s="53" t="s">
        <v>231</v>
      </c>
      <c r="B31" s="97" t="s">
        <v>310</v>
      </c>
      <c r="C31" s="97" t="s">
        <v>439</v>
      </c>
      <c r="D31" s="29" t="s">
        <v>440</v>
      </c>
      <c r="E31" s="20" t="s">
        <v>488</v>
      </c>
      <c r="F31" s="71" t="s">
        <v>489</v>
      </c>
      <c r="G31" s="53" t="s">
        <v>36</v>
      </c>
      <c r="H31" s="53" t="s">
        <v>37</v>
      </c>
      <c r="I31" s="53" t="s">
        <v>38</v>
      </c>
      <c r="J31" s="53" t="s">
        <v>318</v>
      </c>
      <c r="K31" s="53" t="s">
        <v>40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8.25">
      <c r="A32" s="53" t="s">
        <v>231</v>
      </c>
      <c r="B32" s="97" t="s">
        <v>229</v>
      </c>
      <c r="C32" s="97" t="s">
        <v>490</v>
      </c>
      <c r="D32" s="29" t="s">
        <v>491</v>
      </c>
      <c r="E32" s="20" t="s">
        <v>488</v>
      </c>
      <c r="F32" s="53" t="s">
        <v>492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.5">
      <c r="A33" s="53" t="s">
        <v>253</v>
      </c>
      <c r="B33" s="97" t="s">
        <v>212</v>
      </c>
      <c r="C33" s="97" t="s">
        <v>100</v>
      </c>
      <c r="D33" s="29" t="s">
        <v>101</v>
      </c>
      <c r="E33" s="20" t="s">
        <v>493</v>
      </c>
      <c r="F33" s="53" t="s">
        <v>494</v>
      </c>
      <c r="G33" s="53" t="s">
        <v>36</v>
      </c>
      <c r="H33" s="53" t="s">
        <v>37</v>
      </c>
      <c r="I33" s="53" t="s">
        <v>38</v>
      </c>
      <c r="J33" s="53" t="s">
        <v>62</v>
      </c>
      <c r="K33" s="53" t="s">
        <v>414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.5">
      <c r="A34" s="53" t="s">
        <v>371</v>
      </c>
      <c r="B34" s="97" t="s">
        <v>240</v>
      </c>
      <c r="C34" s="97" t="s">
        <v>140</v>
      </c>
      <c r="D34" s="29" t="s">
        <v>141</v>
      </c>
      <c r="E34" s="20" t="s">
        <v>411</v>
      </c>
      <c r="F34" s="53" t="s">
        <v>495</v>
      </c>
      <c r="G34" s="53" t="s">
        <v>36</v>
      </c>
      <c r="H34" s="53" t="s">
        <v>37</v>
      </c>
      <c r="I34" s="53" t="s">
        <v>38</v>
      </c>
      <c r="J34" s="53" t="s">
        <v>318</v>
      </c>
      <c r="K34" s="53" t="s">
        <v>40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.5">
      <c r="A35" s="53" t="s">
        <v>253</v>
      </c>
      <c r="B35" s="97" t="s">
        <v>288</v>
      </c>
      <c r="C35" s="97" t="s">
        <v>378</v>
      </c>
      <c r="D35" s="29" t="s">
        <v>379</v>
      </c>
      <c r="E35" s="20" t="s">
        <v>493</v>
      </c>
      <c r="F35" s="53" t="s">
        <v>496</v>
      </c>
      <c r="G35" s="53" t="s">
        <v>36</v>
      </c>
      <c r="H35" s="53" t="s">
        <v>37</v>
      </c>
      <c r="I35" s="53" t="s">
        <v>38</v>
      </c>
      <c r="J35" s="53" t="s">
        <v>62</v>
      </c>
      <c r="K35" s="53" t="s">
        <v>63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8.25">
      <c r="A36" s="53" t="s">
        <v>253</v>
      </c>
      <c r="B36" s="97" t="s">
        <v>234</v>
      </c>
      <c r="C36" s="97" t="s">
        <v>237</v>
      </c>
      <c r="D36" s="29" t="s">
        <v>238</v>
      </c>
      <c r="E36" s="20" t="s">
        <v>497</v>
      </c>
      <c r="F36" s="53" t="s">
        <v>498</v>
      </c>
      <c r="G36" s="53" t="s">
        <v>36</v>
      </c>
      <c r="H36" s="53" t="s">
        <v>37</v>
      </c>
      <c r="I36" s="53" t="s">
        <v>38</v>
      </c>
      <c r="J36" s="53" t="s">
        <v>373</v>
      </c>
      <c r="K36" s="53" t="s">
        <v>374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1">
      <c r="A37" s="53" t="s">
        <v>231</v>
      </c>
      <c r="B37" s="97" t="s">
        <v>229</v>
      </c>
      <c r="C37" s="97" t="s">
        <v>65</v>
      </c>
      <c r="D37" s="29" t="s">
        <v>66</v>
      </c>
      <c r="E37" s="20" t="s">
        <v>499</v>
      </c>
      <c r="F37" s="53" t="s">
        <v>500</v>
      </c>
      <c r="G37" s="53" t="s">
        <v>36</v>
      </c>
      <c r="H37" s="53" t="s">
        <v>37</v>
      </c>
      <c r="I37" s="53" t="s">
        <v>38</v>
      </c>
      <c r="J37" s="53" t="s">
        <v>62</v>
      </c>
      <c r="K37" s="53" t="s">
        <v>414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72">
        <v>43586</v>
      </c>
    </row>
    <row r="6" spans="1:47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47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152" t="s">
        <v>8</v>
      </c>
    </row>
    <row r="8" spans="1:47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231</v>
      </c>
      <c r="B10" s="97" t="s">
        <v>221</v>
      </c>
      <c r="C10" s="97" t="s">
        <v>277</v>
      </c>
      <c r="D10" s="29" t="s">
        <v>278</v>
      </c>
      <c r="E10" s="20" t="s">
        <v>501</v>
      </c>
      <c r="F10" s="53" t="s">
        <v>502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231</v>
      </c>
      <c r="B11" s="97" t="s">
        <v>221</v>
      </c>
      <c r="C11" s="97" t="s">
        <v>54</v>
      </c>
      <c r="D11" s="29" t="s">
        <v>88</v>
      </c>
      <c r="E11" s="20" t="s">
        <v>55</v>
      </c>
      <c r="F11" s="53" t="s">
        <v>502</v>
      </c>
      <c r="G11" s="53" t="s">
        <v>36</v>
      </c>
      <c r="H11" s="53" t="s">
        <v>37</v>
      </c>
      <c r="I11" s="53" t="s">
        <v>38</v>
      </c>
      <c r="J11" s="53" t="s">
        <v>62</v>
      </c>
      <c r="K11" s="53" t="s">
        <v>63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8.25">
      <c r="A12" s="53" t="s">
        <v>371</v>
      </c>
      <c r="B12" s="97" t="s">
        <v>273</v>
      </c>
      <c r="C12" s="97" t="s">
        <v>195</v>
      </c>
      <c r="D12" s="29" t="s">
        <v>196</v>
      </c>
      <c r="E12" s="20" t="s">
        <v>197</v>
      </c>
      <c r="F12" s="53" t="s">
        <v>503</v>
      </c>
      <c r="G12" s="53" t="s">
        <v>36</v>
      </c>
      <c r="H12" s="53" t="s">
        <v>37</v>
      </c>
      <c r="I12" s="53" t="s">
        <v>38</v>
      </c>
      <c r="J12" s="53" t="s">
        <v>504</v>
      </c>
      <c r="K12" s="53" t="s">
        <v>505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.5">
      <c r="A13" s="53" t="s">
        <v>371</v>
      </c>
      <c r="B13" s="97" t="s">
        <v>273</v>
      </c>
      <c r="C13" s="97" t="s">
        <v>201</v>
      </c>
      <c r="D13" s="29" t="s">
        <v>202</v>
      </c>
      <c r="E13" s="20" t="s">
        <v>348</v>
      </c>
      <c r="F13" s="53" t="s">
        <v>503</v>
      </c>
      <c r="G13" s="53" t="s">
        <v>36</v>
      </c>
      <c r="H13" s="53" t="s">
        <v>37</v>
      </c>
      <c r="I13" s="53" t="s">
        <v>38</v>
      </c>
      <c r="J13" s="53" t="s">
        <v>504</v>
      </c>
      <c r="K13" s="53" t="s">
        <v>505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8.25">
      <c r="A14" s="53" t="s">
        <v>371</v>
      </c>
      <c r="B14" s="97" t="s">
        <v>396</v>
      </c>
      <c r="C14" s="97" t="s">
        <v>152</v>
      </c>
      <c r="D14" s="56" t="s">
        <v>153</v>
      </c>
      <c r="E14" s="66" t="s">
        <v>506</v>
      </c>
      <c r="F14" s="53" t="s">
        <v>507</v>
      </c>
      <c r="G14" s="53" t="s">
        <v>36</v>
      </c>
      <c r="H14" s="53" t="s">
        <v>37</v>
      </c>
      <c r="I14" s="53" t="s">
        <v>38</v>
      </c>
      <c r="J14" s="53" t="s">
        <v>373</v>
      </c>
      <c r="K14" s="53" t="s">
        <v>374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/>
      <c r="B15" s="97" t="s">
        <v>215</v>
      </c>
      <c r="C15" s="97" t="s">
        <v>58</v>
      </c>
      <c r="D15" s="56" t="s">
        <v>59</v>
      </c>
      <c r="E15" s="20" t="s">
        <v>428</v>
      </c>
      <c r="F15" s="53" t="s">
        <v>508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53" t="s">
        <v>253</v>
      </c>
      <c r="B16" s="53" t="s">
        <v>253</v>
      </c>
      <c r="C16" s="97" t="s">
        <v>320</v>
      </c>
      <c r="D16" s="56" t="s">
        <v>321</v>
      </c>
      <c r="E16" s="20" t="s">
        <v>343</v>
      </c>
      <c r="F16" s="53" t="s">
        <v>509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53" t="s">
        <v>371</v>
      </c>
      <c r="B17" s="97" t="s">
        <v>371</v>
      </c>
      <c r="C17" s="97" t="s">
        <v>137</v>
      </c>
      <c r="D17" s="29" t="s">
        <v>138</v>
      </c>
      <c r="E17" s="20" t="s">
        <v>343</v>
      </c>
      <c r="F17" s="53" t="s">
        <v>509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53" t="s">
        <v>371</v>
      </c>
      <c r="B18" s="97" t="s">
        <v>371</v>
      </c>
      <c r="C18" s="97" t="s">
        <v>79</v>
      </c>
      <c r="D18" s="29" t="s">
        <v>77</v>
      </c>
      <c r="E18" s="20" t="s">
        <v>80</v>
      </c>
      <c r="F18" s="53" t="s">
        <v>509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231</v>
      </c>
      <c r="B19" s="97" t="s">
        <v>221</v>
      </c>
      <c r="C19" s="97" t="s">
        <v>54</v>
      </c>
      <c r="D19" s="29" t="s">
        <v>88</v>
      </c>
      <c r="E19" s="20" t="s">
        <v>55</v>
      </c>
      <c r="F19" s="53" t="s">
        <v>509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253</v>
      </c>
      <c r="B20" s="53" t="s">
        <v>253</v>
      </c>
      <c r="C20" s="97" t="s">
        <v>486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.5">
      <c r="A21" s="53" t="s">
        <v>371</v>
      </c>
      <c r="B21" s="97" t="s">
        <v>240</v>
      </c>
      <c r="C21" s="97" t="s">
        <v>140</v>
      </c>
      <c r="D21" s="29" t="s">
        <v>141</v>
      </c>
      <c r="E21" s="20" t="s">
        <v>411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.5">
      <c r="A22" s="53" t="s">
        <v>253</v>
      </c>
      <c r="B22" s="53" t="s">
        <v>253</v>
      </c>
      <c r="C22" s="97" t="s">
        <v>486</v>
      </c>
      <c r="D22" s="29" t="s">
        <v>107</v>
      </c>
      <c r="E22" s="66" t="s">
        <v>50</v>
      </c>
      <c r="F22" s="53" t="s">
        <v>510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.5">
      <c r="A23" s="53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53" t="s">
        <v>230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.5">
      <c r="A24" s="53" t="s">
        <v>253</v>
      </c>
      <c r="B24" s="97" t="s">
        <v>288</v>
      </c>
      <c r="C24" s="97" t="s">
        <v>112</v>
      </c>
      <c r="D24" s="29" t="s">
        <v>113</v>
      </c>
      <c r="E24" s="20" t="s">
        <v>332</v>
      </c>
      <c r="F24" s="53" t="s">
        <v>511</v>
      </c>
      <c r="G24" s="53" t="s">
        <v>36</v>
      </c>
      <c r="H24" s="53" t="s">
        <v>37</v>
      </c>
      <c r="I24" s="53" t="s">
        <v>38</v>
      </c>
      <c r="J24" s="53" t="s">
        <v>62</v>
      </c>
      <c r="K24" s="53" t="s">
        <v>63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>
      <c r="A25" s="53"/>
      <c r="B25" s="97"/>
      <c r="C25" s="97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>
      <c r="A26" s="53"/>
      <c r="B26" s="97"/>
      <c r="C26" s="97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>
      <c r="A27" s="53"/>
      <c r="B27" s="97"/>
      <c r="C27" s="97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>
      <c r="A28" s="53"/>
      <c r="B28" s="97"/>
      <c r="C28" s="97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>
      <c r="A29" s="53"/>
      <c r="B29" s="97"/>
      <c r="C29" s="97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>
      <c r="A30" s="53"/>
      <c r="B30" s="97"/>
      <c r="C30" s="97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>
      <c r="A31" s="53"/>
      <c r="B31" s="97"/>
      <c r="C31" s="97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>
      <c r="A32" s="53"/>
      <c r="B32" s="97"/>
      <c r="C32" s="97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>
      <c r="A33" s="53"/>
      <c r="B33" s="97"/>
      <c r="C33" s="97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97"/>
      <c r="C34" s="97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97"/>
      <c r="C35" s="97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97"/>
      <c r="C36" s="97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97"/>
      <c r="C37" s="97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72">
        <v>43586</v>
      </c>
    </row>
    <row r="6" spans="1:47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47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152" t="s">
        <v>8</v>
      </c>
    </row>
    <row r="8" spans="1:47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8.25">
      <c r="A10" s="97" t="s">
        <v>512</v>
      </c>
      <c r="B10" s="97" t="s">
        <v>259</v>
      </c>
      <c r="C10" s="76" t="s">
        <v>383</v>
      </c>
      <c r="D10" s="29" t="s">
        <v>384</v>
      </c>
      <c r="E10" s="20" t="s">
        <v>513</v>
      </c>
      <c r="F10" s="53" t="s">
        <v>514</v>
      </c>
      <c r="G10" s="53" t="s">
        <v>36</v>
      </c>
      <c r="H10" s="53" t="s">
        <v>37</v>
      </c>
      <c r="I10" s="53" t="s">
        <v>38</v>
      </c>
      <c r="J10" s="53" t="s">
        <v>39</v>
      </c>
      <c r="K10" s="53" t="s">
        <v>40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1">
      <c r="A11" s="97" t="s">
        <v>512</v>
      </c>
      <c r="B11" s="97" t="s">
        <v>259</v>
      </c>
      <c r="C11" s="97" t="s">
        <v>433</v>
      </c>
      <c r="D11" s="29" t="s">
        <v>434</v>
      </c>
      <c r="E11" s="20" t="s">
        <v>515</v>
      </c>
      <c r="F11" s="53" t="s">
        <v>514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97" t="s">
        <v>512</v>
      </c>
      <c r="B12" s="97" t="s">
        <v>512</v>
      </c>
      <c r="C12" s="76" t="s">
        <v>320</v>
      </c>
      <c r="D12" s="56" t="s">
        <v>321</v>
      </c>
      <c r="E12" s="20" t="s">
        <v>343</v>
      </c>
      <c r="F12" s="53" t="s">
        <v>514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0">
      <c r="A13" s="97" t="s">
        <v>512</v>
      </c>
      <c r="B13" s="97" t="s">
        <v>288</v>
      </c>
      <c r="C13" s="98" t="s">
        <v>516</v>
      </c>
      <c r="D13" s="29" t="s">
        <v>517</v>
      </c>
      <c r="E13" s="20" t="s">
        <v>518</v>
      </c>
      <c r="F13" s="53" t="s">
        <v>519</v>
      </c>
      <c r="G13" s="53" t="s">
        <v>36</v>
      </c>
      <c r="H13" s="53" t="s">
        <v>37</v>
      </c>
      <c r="I13" s="53" t="s">
        <v>38</v>
      </c>
      <c r="J13" s="53" t="s">
        <v>109</v>
      </c>
      <c r="K13" s="53" t="s">
        <v>110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97" t="s">
        <v>512</v>
      </c>
      <c r="B14" s="97" t="s">
        <v>520</v>
      </c>
      <c r="C14" s="97" t="s">
        <v>521</v>
      </c>
      <c r="D14" s="56" t="s">
        <v>522</v>
      </c>
      <c r="E14" s="66" t="s">
        <v>523</v>
      </c>
      <c r="F14" s="53" t="s">
        <v>519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8.25">
      <c r="A15" s="97" t="s">
        <v>371</v>
      </c>
      <c r="B15" s="97" t="s">
        <v>371</v>
      </c>
      <c r="C15" s="97" t="s">
        <v>79</v>
      </c>
      <c r="D15" s="29" t="s">
        <v>107</v>
      </c>
      <c r="E15" s="20" t="s">
        <v>80</v>
      </c>
      <c r="F15" s="53" t="s">
        <v>514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97" t="s">
        <v>371</v>
      </c>
      <c r="B16" s="97" t="s">
        <v>396</v>
      </c>
      <c r="C16" s="97" t="s">
        <v>267</v>
      </c>
      <c r="D16" s="29" t="s">
        <v>145</v>
      </c>
      <c r="E16" s="20" t="s">
        <v>399</v>
      </c>
      <c r="F16" s="53" t="s">
        <v>268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97" t="s">
        <v>231</v>
      </c>
      <c r="B17" s="97" t="s">
        <v>221</v>
      </c>
      <c r="C17" s="97" t="s">
        <v>54</v>
      </c>
      <c r="D17" s="29" t="s">
        <v>88</v>
      </c>
      <c r="E17" s="20" t="s">
        <v>55</v>
      </c>
      <c r="F17" s="53" t="s">
        <v>514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97" t="s">
        <v>253</v>
      </c>
      <c r="B18" s="97" t="s">
        <v>253</v>
      </c>
      <c r="C18" s="97" t="s">
        <v>486</v>
      </c>
      <c r="D18" s="56" t="s">
        <v>107</v>
      </c>
      <c r="E18" s="66" t="s">
        <v>50</v>
      </c>
      <c r="F18" s="53" t="s">
        <v>514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8.25">
      <c r="A19" s="97" t="s">
        <v>231</v>
      </c>
      <c r="B19" s="97" t="s">
        <v>462</v>
      </c>
      <c r="C19" s="97" t="s">
        <v>158</v>
      </c>
      <c r="D19" s="29" t="s">
        <v>159</v>
      </c>
      <c r="E19" s="20" t="s">
        <v>160</v>
      </c>
      <c r="F19" s="53" t="s">
        <v>268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30">
      <c r="A20" s="97" t="s">
        <v>512</v>
      </c>
      <c r="B20" s="97" t="s">
        <v>512</v>
      </c>
      <c r="C20" s="98" t="s">
        <v>524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.5">
      <c r="A21" s="97" t="s">
        <v>512</v>
      </c>
      <c r="B21" s="97" t="s">
        <v>512</v>
      </c>
      <c r="C21" s="97" t="s">
        <v>525</v>
      </c>
      <c r="D21" s="56" t="s">
        <v>321</v>
      </c>
      <c r="E21" s="20" t="s">
        <v>343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.5">
      <c r="A22" s="97" t="s">
        <v>371</v>
      </c>
      <c r="B22" s="97" t="s">
        <v>371</v>
      </c>
      <c r="C22" s="97" t="s">
        <v>137</v>
      </c>
      <c r="D22" s="29" t="s">
        <v>138</v>
      </c>
      <c r="E22" s="20" t="s">
        <v>343</v>
      </c>
      <c r="F22" s="53" t="s">
        <v>509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.5">
      <c r="A23" s="97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53" t="s">
        <v>509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.5">
      <c r="A24" s="97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53" t="s">
        <v>509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.5">
      <c r="A25" s="97" t="s">
        <v>512</v>
      </c>
      <c r="B25" s="97" t="s">
        <v>288</v>
      </c>
      <c r="C25" s="97" t="s">
        <v>526</v>
      </c>
      <c r="D25" s="29" t="s">
        <v>527</v>
      </c>
      <c r="E25" s="20" t="s">
        <v>164</v>
      </c>
      <c r="F25" s="53" t="s">
        <v>528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1">
      <c r="A26" s="97" t="s">
        <v>512</v>
      </c>
      <c r="B26" s="97" t="s">
        <v>212</v>
      </c>
      <c r="C26" s="97" t="s">
        <v>404</v>
      </c>
      <c r="D26" s="29" t="s">
        <v>405</v>
      </c>
      <c r="E26" s="20" t="s">
        <v>406</v>
      </c>
      <c r="F26" s="53" t="s">
        <v>528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.5">
      <c r="A27" s="97" t="s">
        <v>512</v>
      </c>
      <c r="B27" s="97" t="s">
        <v>288</v>
      </c>
      <c r="C27" s="97" t="s">
        <v>529</v>
      </c>
      <c r="D27" s="29" t="s">
        <v>530</v>
      </c>
      <c r="E27" s="20" t="s">
        <v>531</v>
      </c>
      <c r="F27" s="53" t="s">
        <v>528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.5">
      <c r="A28" s="97" t="s">
        <v>231</v>
      </c>
      <c r="B28" s="97" t="s">
        <v>229</v>
      </c>
      <c r="C28" s="97" t="s">
        <v>246</v>
      </c>
      <c r="D28" s="56" t="s">
        <v>247</v>
      </c>
      <c r="E28" s="20" t="s">
        <v>341</v>
      </c>
      <c r="F28" s="53" t="s">
        <v>532</v>
      </c>
      <c r="G28" s="53" t="s">
        <v>36</v>
      </c>
      <c r="H28" s="53" t="s">
        <v>37</v>
      </c>
      <c r="I28" s="53" t="s">
        <v>38</v>
      </c>
      <c r="J28" s="53" t="s">
        <v>62</v>
      </c>
      <c r="K28" s="53" t="s">
        <v>63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.5">
      <c r="A29" s="97" t="s">
        <v>512</v>
      </c>
      <c r="B29" s="97" t="s">
        <v>212</v>
      </c>
      <c r="C29" s="97" t="s">
        <v>100</v>
      </c>
      <c r="D29" s="29" t="s">
        <v>101</v>
      </c>
      <c r="E29" s="20" t="s">
        <v>102</v>
      </c>
      <c r="F29" s="53" t="s">
        <v>533</v>
      </c>
      <c r="G29" s="53" t="s">
        <v>36</v>
      </c>
      <c r="H29" s="53" t="s">
        <v>37</v>
      </c>
      <c r="I29" s="53" t="s">
        <v>38</v>
      </c>
      <c r="J29" s="53" t="s">
        <v>62</v>
      </c>
      <c r="K29" s="53" t="s">
        <v>414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.5">
      <c r="A30" s="97" t="s">
        <v>371</v>
      </c>
      <c r="B30" s="97" t="s">
        <v>240</v>
      </c>
      <c r="C30" s="97" t="s">
        <v>448</v>
      </c>
      <c r="D30" s="56" t="s">
        <v>460</v>
      </c>
      <c r="E30" s="20" t="s">
        <v>60</v>
      </c>
      <c r="F30" s="53" t="s">
        <v>534</v>
      </c>
      <c r="G30" s="53" t="s">
        <v>36</v>
      </c>
      <c r="H30" s="53" t="s">
        <v>37</v>
      </c>
      <c r="I30" s="53" t="s">
        <v>38</v>
      </c>
      <c r="J30" s="53" t="s">
        <v>39</v>
      </c>
      <c r="K30" s="53" t="s">
        <v>40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.5">
      <c r="A31" s="97" t="s">
        <v>512</v>
      </c>
      <c r="B31" s="97" t="s">
        <v>288</v>
      </c>
      <c r="C31" s="97" t="s">
        <v>289</v>
      </c>
      <c r="D31" s="29" t="s">
        <v>290</v>
      </c>
      <c r="E31" s="20" t="s">
        <v>535</v>
      </c>
      <c r="F31" s="53" t="s">
        <v>528</v>
      </c>
      <c r="G31" s="53" t="s">
        <v>36</v>
      </c>
      <c r="H31" s="53" t="s">
        <v>37</v>
      </c>
      <c r="I31" s="53" t="s">
        <v>38</v>
      </c>
      <c r="J31" s="53" t="s">
        <v>62</v>
      </c>
      <c r="K31" s="53" t="s">
        <v>63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.5">
      <c r="A32" s="97" t="s">
        <v>512</v>
      </c>
      <c r="B32" s="97" t="s">
        <v>288</v>
      </c>
      <c r="C32" s="97" t="s">
        <v>378</v>
      </c>
      <c r="D32" s="29" t="s">
        <v>379</v>
      </c>
      <c r="E32" s="20" t="s">
        <v>380</v>
      </c>
      <c r="F32" s="53" t="s">
        <v>536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>
      <c r="A33" s="53"/>
      <c r="B33" s="97"/>
      <c r="C33" s="97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97"/>
      <c r="C34" s="97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97"/>
      <c r="C35" s="97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97"/>
      <c r="C36" s="97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97"/>
      <c r="C37" s="97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72">
        <v>43586</v>
      </c>
    </row>
    <row r="6" spans="1:46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46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152" t="s">
        <v>8</v>
      </c>
    </row>
    <row r="8" spans="1:46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97" t="s">
        <v>231</v>
      </c>
      <c r="B10" s="97" t="s">
        <v>221</v>
      </c>
      <c r="C10" s="78" t="s">
        <v>54</v>
      </c>
      <c r="D10" s="29" t="s">
        <v>88</v>
      </c>
      <c r="E10" s="20" t="s">
        <v>55</v>
      </c>
      <c r="F10" s="53" t="s">
        <v>537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97" t="s">
        <v>512</v>
      </c>
      <c r="B11" s="97" t="s">
        <v>212</v>
      </c>
      <c r="C11" s="97" t="s">
        <v>41</v>
      </c>
      <c r="D11" s="29" t="s">
        <v>171</v>
      </c>
      <c r="E11" s="20" t="s">
        <v>42</v>
      </c>
      <c r="F11" s="53" t="s">
        <v>538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512</v>
      </c>
      <c r="B12" s="97" t="s">
        <v>212</v>
      </c>
      <c r="C12" s="76" t="s">
        <v>387</v>
      </c>
      <c r="D12" s="56" t="s">
        <v>388</v>
      </c>
      <c r="E12" s="20" t="s">
        <v>34</v>
      </c>
      <c r="F12" s="53" t="s">
        <v>538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512</v>
      </c>
      <c r="B13" s="97" t="s">
        <v>212</v>
      </c>
      <c r="C13" s="98" t="s">
        <v>539</v>
      </c>
      <c r="D13" s="29" t="s">
        <v>540</v>
      </c>
      <c r="E13" s="20" t="s">
        <v>541</v>
      </c>
      <c r="F13" s="53" t="s">
        <v>538</v>
      </c>
      <c r="G13" s="53" t="s">
        <v>36</v>
      </c>
      <c r="H13" s="53" t="s">
        <v>37</v>
      </c>
      <c r="I13" s="53" t="s">
        <v>38</v>
      </c>
      <c r="J13" s="53" t="s">
        <v>37</v>
      </c>
      <c r="K13" s="53" t="s">
        <v>391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97" t="s">
        <v>512</v>
      </c>
      <c r="B14" s="97" t="s">
        <v>512</v>
      </c>
      <c r="C14" s="97" t="s">
        <v>486</v>
      </c>
      <c r="D14" s="56" t="s">
        <v>107</v>
      </c>
      <c r="E14" s="66" t="s">
        <v>50</v>
      </c>
      <c r="F14" s="53" t="s">
        <v>108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>
      <c r="A15" s="97" t="s">
        <v>371</v>
      </c>
      <c r="B15" s="97" t="s">
        <v>273</v>
      </c>
      <c r="C15" s="97" t="s">
        <v>201</v>
      </c>
      <c r="D15" s="29" t="s">
        <v>202</v>
      </c>
      <c r="E15" s="20" t="s">
        <v>348</v>
      </c>
      <c r="F15" s="53" t="s">
        <v>542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97" t="s">
        <v>371</v>
      </c>
      <c r="B16" s="97" t="s">
        <v>273</v>
      </c>
      <c r="C16" s="97" t="s">
        <v>195</v>
      </c>
      <c r="D16" s="29" t="s">
        <v>145</v>
      </c>
      <c r="E16" s="20" t="s">
        <v>399</v>
      </c>
      <c r="F16" s="53" t="s">
        <v>542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.5">
      <c r="A17" s="97" t="s">
        <v>253</v>
      </c>
      <c r="B17" s="97" t="s">
        <v>253</v>
      </c>
      <c r="C17" s="97" t="s">
        <v>486</v>
      </c>
      <c r="D17" s="56" t="s">
        <v>107</v>
      </c>
      <c r="E17" s="66" t="s">
        <v>50</v>
      </c>
      <c r="F17" s="53" t="s">
        <v>543</v>
      </c>
      <c r="G17" s="53" t="s">
        <v>36</v>
      </c>
      <c r="H17" s="53" t="s">
        <v>37</v>
      </c>
      <c r="I17" s="53" t="s">
        <v>38</v>
      </c>
      <c r="J17" s="53" t="s">
        <v>37</v>
      </c>
      <c r="K17" s="53" t="s">
        <v>391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>
      <c r="A18" s="97" t="s">
        <v>253</v>
      </c>
      <c r="B18" s="97" t="s">
        <v>253</v>
      </c>
      <c r="C18" s="97" t="s">
        <v>320</v>
      </c>
      <c r="D18" s="56" t="s">
        <v>321</v>
      </c>
      <c r="E18" s="20" t="s">
        <v>343</v>
      </c>
      <c r="F18" s="53" t="s">
        <v>543</v>
      </c>
      <c r="G18" s="53" t="s">
        <v>36</v>
      </c>
      <c r="H18" s="53" t="s">
        <v>37</v>
      </c>
      <c r="I18" s="53" t="s">
        <v>38</v>
      </c>
      <c r="J18" s="53" t="s">
        <v>37</v>
      </c>
      <c r="K18" s="53" t="s">
        <v>391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.5">
      <c r="A19" s="97" t="s">
        <v>231</v>
      </c>
      <c r="B19" s="97" t="s">
        <v>544</v>
      </c>
      <c r="C19" s="97" t="s">
        <v>545</v>
      </c>
      <c r="D19" s="29" t="s">
        <v>546</v>
      </c>
      <c r="E19" s="20" t="s">
        <v>547</v>
      </c>
      <c r="F19" s="53" t="s">
        <v>543</v>
      </c>
      <c r="G19" s="53" t="s">
        <v>36</v>
      </c>
      <c r="H19" s="53" t="s">
        <v>37</v>
      </c>
      <c r="I19" s="53" t="s">
        <v>38</v>
      </c>
      <c r="J19" s="53" t="s">
        <v>37</v>
      </c>
      <c r="K19" s="53" t="s">
        <v>391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8.25">
      <c r="A20" s="97" t="s">
        <v>371</v>
      </c>
      <c r="B20" s="97" t="s">
        <v>371</v>
      </c>
      <c r="C20" s="98" t="s">
        <v>79</v>
      </c>
      <c r="D20" s="29" t="s">
        <v>107</v>
      </c>
      <c r="E20" s="20" t="s">
        <v>80</v>
      </c>
      <c r="F20" s="53" t="s">
        <v>548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>
      <c r="A21" s="97" t="s">
        <v>371</v>
      </c>
      <c r="B21" s="97" t="s">
        <v>371</v>
      </c>
      <c r="C21" s="97" t="s">
        <v>137</v>
      </c>
      <c r="D21" s="29" t="s">
        <v>141</v>
      </c>
      <c r="E21" s="20" t="s">
        <v>411</v>
      </c>
      <c r="F21" s="53" t="s">
        <v>548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.5">
      <c r="A22" s="97" t="s">
        <v>512</v>
      </c>
      <c r="B22" s="97" t="s">
        <v>512</v>
      </c>
      <c r="C22" s="97" t="s">
        <v>486</v>
      </c>
      <c r="D22" s="56" t="s">
        <v>107</v>
      </c>
      <c r="E22" s="66" t="s">
        <v>50</v>
      </c>
      <c r="F22" s="53" t="s">
        <v>548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.5">
      <c r="A23" s="97" t="s">
        <v>512</v>
      </c>
      <c r="B23" s="97" t="s">
        <v>253</v>
      </c>
      <c r="C23" s="97" t="s">
        <v>320</v>
      </c>
      <c r="D23" s="56" t="s">
        <v>321</v>
      </c>
      <c r="E23" s="20" t="s">
        <v>343</v>
      </c>
      <c r="F23" s="53" t="s">
        <v>548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.5">
      <c r="A24" s="97" t="s">
        <v>231</v>
      </c>
      <c r="B24" s="97" t="s">
        <v>221</v>
      </c>
      <c r="C24" s="97" t="s">
        <v>54</v>
      </c>
      <c r="D24" s="29" t="s">
        <v>88</v>
      </c>
      <c r="E24" s="20" t="s">
        <v>55</v>
      </c>
      <c r="F24" s="53" t="s">
        <v>357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.5">
      <c r="A25" s="97" t="s">
        <v>512</v>
      </c>
      <c r="B25" s="97" t="s">
        <v>253</v>
      </c>
      <c r="C25" s="97" t="s">
        <v>486</v>
      </c>
      <c r="D25" s="56" t="s">
        <v>107</v>
      </c>
      <c r="E25" s="66" t="s">
        <v>50</v>
      </c>
      <c r="F25" s="53" t="s">
        <v>357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>
      <c r="A26" s="97" t="s">
        <v>371</v>
      </c>
      <c r="B26" s="97" t="s">
        <v>273</v>
      </c>
      <c r="C26" s="97" t="s">
        <v>549</v>
      </c>
      <c r="D26" s="29" t="s">
        <v>550</v>
      </c>
      <c r="E26" s="20" t="s">
        <v>348</v>
      </c>
      <c r="F26" s="53" t="s">
        <v>551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.5">
      <c r="A27" s="97" t="s">
        <v>512</v>
      </c>
      <c r="B27" s="97" t="s">
        <v>253</v>
      </c>
      <c r="C27" s="97" t="s">
        <v>486</v>
      </c>
      <c r="D27" s="56" t="s">
        <v>107</v>
      </c>
      <c r="E27" s="66" t="s">
        <v>50</v>
      </c>
      <c r="F27" s="53" t="s">
        <v>552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72">
        <v>43586</v>
      </c>
    </row>
    <row r="6" spans="1:46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46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152" t="s">
        <v>8</v>
      </c>
    </row>
    <row r="8" spans="1:46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>
      <c r="A10" s="97" t="s">
        <v>371</v>
      </c>
      <c r="B10" s="97" t="s">
        <v>273</v>
      </c>
      <c r="C10" s="78" t="s">
        <v>282</v>
      </c>
      <c r="D10" s="29" t="s">
        <v>553</v>
      </c>
      <c r="E10" s="20" t="s">
        <v>348</v>
      </c>
      <c r="F10" s="53" t="s">
        <v>554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>
      <c r="A11" s="97" t="s">
        <v>371</v>
      </c>
      <c r="B11" s="97" t="s">
        <v>226</v>
      </c>
      <c r="C11" s="97" t="s">
        <v>206</v>
      </c>
      <c r="D11" s="29" t="s">
        <v>207</v>
      </c>
      <c r="E11" s="20" t="s">
        <v>208</v>
      </c>
      <c r="F11" s="53" t="s">
        <v>357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231</v>
      </c>
      <c r="B12" s="97" t="s">
        <v>221</v>
      </c>
      <c r="C12" s="76" t="s">
        <v>54</v>
      </c>
      <c r="D12" s="29" t="s">
        <v>88</v>
      </c>
      <c r="E12" s="20" t="s">
        <v>55</v>
      </c>
      <c r="F12" s="53" t="s">
        <v>357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253</v>
      </c>
      <c r="B13" s="97" t="s">
        <v>253</v>
      </c>
      <c r="C13" s="98" t="s">
        <v>486</v>
      </c>
      <c r="D13" s="56" t="s">
        <v>107</v>
      </c>
      <c r="E13" s="66" t="s">
        <v>50</v>
      </c>
      <c r="F13" s="53" t="s">
        <v>555</v>
      </c>
      <c r="G13" s="53" t="s">
        <v>36</v>
      </c>
      <c r="H13" s="53" t="s">
        <v>37</v>
      </c>
      <c r="I13" s="53" t="s">
        <v>38</v>
      </c>
      <c r="J13" s="53" t="s">
        <v>409</v>
      </c>
      <c r="K13" s="53" t="s">
        <v>410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97" t="s">
        <v>253</v>
      </c>
      <c r="B14" s="97" t="s">
        <v>259</v>
      </c>
      <c r="C14" s="97" t="s">
        <v>320</v>
      </c>
      <c r="D14" s="56" t="s">
        <v>321</v>
      </c>
      <c r="E14" s="20" t="s">
        <v>343</v>
      </c>
      <c r="F14" s="53" t="s">
        <v>555</v>
      </c>
      <c r="G14" s="53" t="s">
        <v>36</v>
      </c>
      <c r="H14" s="53" t="s">
        <v>37</v>
      </c>
      <c r="I14" s="53" t="s">
        <v>38</v>
      </c>
      <c r="J14" s="53" t="s">
        <v>409</v>
      </c>
      <c r="K14" s="53" t="s">
        <v>410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.5">
      <c r="A15" s="97" t="s">
        <v>253</v>
      </c>
      <c r="B15" s="97" t="s">
        <v>288</v>
      </c>
      <c r="C15" s="97" t="s">
        <v>375</v>
      </c>
      <c r="D15" s="29" t="s">
        <v>376</v>
      </c>
      <c r="E15" s="20" t="s">
        <v>98</v>
      </c>
      <c r="F15" s="53" t="s">
        <v>556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97" t="s">
        <v>253</v>
      </c>
      <c r="B16" s="97" t="s">
        <v>212</v>
      </c>
      <c r="C16" s="97" t="s">
        <v>100</v>
      </c>
      <c r="D16" s="29" t="s">
        <v>101</v>
      </c>
      <c r="E16" s="20" t="s">
        <v>102</v>
      </c>
      <c r="F16" s="53" t="s">
        <v>557</v>
      </c>
      <c r="G16" s="53" t="s">
        <v>36</v>
      </c>
      <c r="H16" s="53" t="s">
        <v>37</v>
      </c>
      <c r="I16" s="53" t="s">
        <v>38</v>
      </c>
      <c r="J16" s="53" t="s">
        <v>62</v>
      </c>
      <c r="K16" s="53" t="s">
        <v>414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72">
        <v>43586</v>
      </c>
    </row>
    <row r="6" spans="1:46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46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152" t="s">
        <v>8</v>
      </c>
    </row>
    <row r="8" spans="1:46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97" t="s">
        <v>253</v>
      </c>
      <c r="B10" s="97" t="s">
        <v>212</v>
      </c>
      <c r="C10" s="78" t="s">
        <v>100</v>
      </c>
      <c r="D10" s="29" t="s">
        <v>101</v>
      </c>
      <c r="E10" s="20" t="s">
        <v>102</v>
      </c>
      <c r="F10" s="53" t="s">
        <v>558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414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97" t="s">
        <v>253</v>
      </c>
      <c r="B11" s="97" t="s">
        <v>259</v>
      </c>
      <c r="C11" s="97" t="s">
        <v>383</v>
      </c>
      <c r="D11" s="29" t="s">
        <v>384</v>
      </c>
      <c r="E11" s="20" t="s">
        <v>385</v>
      </c>
      <c r="F11" s="53" t="s">
        <v>559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253</v>
      </c>
      <c r="B12" s="97" t="s">
        <v>253</v>
      </c>
      <c r="C12" s="76" t="s">
        <v>320</v>
      </c>
      <c r="D12" s="56" t="s">
        <v>321</v>
      </c>
      <c r="E12" s="20" t="s">
        <v>343</v>
      </c>
      <c r="F12" s="53" t="s">
        <v>559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253</v>
      </c>
      <c r="B13" s="97" t="s">
        <v>253</v>
      </c>
      <c r="C13" s="98" t="s">
        <v>486</v>
      </c>
      <c r="D13" s="56" t="s">
        <v>107</v>
      </c>
      <c r="E13" s="66" t="s">
        <v>50</v>
      </c>
      <c r="F13" s="53" t="s">
        <v>560</v>
      </c>
      <c r="G13" s="53" t="s">
        <v>36</v>
      </c>
      <c r="H13" s="53" t="s">
        <v>37</v>
      </c>
      <c r="I13" s="53" t="s">
        <v>38</v>
      </c>
      <c r="J13" s="53" t="s">
        <v>39</v>
      </c>
      <c r="K13" s="53" t="s">
        <v>40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 t="s">
        <v>228</v>
      </c>
      <c r="B5" s="97" t="s">
        <v>228</v>
      </c>
      <c r="C5" s="97" t="s">
        <v>561</v>
      </c>
      <c r="D5" s="29"/>
      <c r="E5" s="20" t="s">
        <v>562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210</v>
      </c>
      <c r="K5" s="53" t="s">
        <v>211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15">
      <c r="A6" s="97" t="s">
        <v>228</v>
      </c>
      <c r="B6" s="97" t="s">
        <v>450</v>
      </c>
      <c r="C6" s="97" t="s">
        <v>564</v>
      </c>
      <c r="D6" s="29"/>
      <c r="E6" s="20" t="s">
        <v>565</v>
      </c>
      <c r="F6" s="53" t="s">
        <v>563</v>
      </c>
      <c r="G6" s="53" t="s">
        <v>36</v>
      </c>
      <c r="H6" s="53" t="s">
        <v>37</v>
      </c>
      <c r="I6" s="53" t="s">
        <v>38</v>
      </c>
      <c r="J6" s="53" t="s">
        <v>210</v>
      </c>
      <c r="K6" s="53" t="s">
        <v>211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.5">
      <c r="A7" s="97" t="s">
        <v>228</v>
      </c>
      <c r="B7" s="97" t="s">
        <v>566</v>
      </c>
      <c r="C7" s="97" t="s">
        <v>54</v>
      </c>
      <c r="D7" s="29" t="s">
        <v>88</v>
      </c>
      <c r="E7" s="20" t="s">
        <v>55</v>
      </c>
      <c r="F7" s="53" t="s">
        <v>563</v>
      </c>
      <c r="G7" s="53" t="s">
        <v>36</v>
      </c>
      <c r="H7" s="53" t="s">
        <v>37</v>
      </c>
      <c r="I7" s="53" t="s">
        <v>38</v>
      </c>
      <c r="J7" s="53" t="s">
        <v>210</v>
      </c>
      <c r="K7" s="53" t="s">
        <v>211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77</v>
      </c>
    </row>
    <row r="8" spans="1:24" ht="25.5">
      <c r="A8" s="97" t="s">
        <v>228</v>
      </c>
      <c r="B8" s="97" t="s">
        <v>566</v>
      </c>
      <c r="C8" s="97" t="s">
        <v>54</v>
      </c>
      <c r="D8" s="29" t="s">
        <v>88</v>
      </c>
      <c r="E8" s="20" t="s">
        <v>55</v>
      </c>
      <c r="F8" s="53" t="s">
        <v>567</v>
      </c>
      <c r="G8" s="53" t="s">
        <v>36</v>
      </c>
      <c r="H8" s="53" t="s">
        <v>37</v>
      </c>
      <c r="I8" s="53" t="s">
        <v>38</v>
      </c>
      <c r="J8" s="53" t="s">
        <v>62</v>
      </c>
      <c r="K8" s="53" t="s">
        <v>63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77</v>
      </c>
    </row>
    <row r="9" spans="1:24" ht="38.25">
      <c r="A9" s="177" t="s">
        <v>233</v>
      </c>
      <c r="B9" s="177" t="s">
        <v>233</v>
      </c>
      <c r="C9" s="177" t="s">
        <v>568</v>
      </c>
      <c r="D9" s="80"/>
      <c r="E9" s="81" t="s">
        <v>50</v>
      </c>
      <c r="F9" s="53" t="s">
        <v>563</v>
      </c>
      <c r="G9" s="79" t="s">
        <v>36</v>
      </c>
      <c r="H9" s="79" t="s">
        <v>37</v>
      </c>
      <c r="I9" s="79" t="s">
        <v>38</v>
      </c>
      <c r="J9" s="79" t="s">
        <v>210</v>
      </c>
      <c r="K9" s="79" t="s">
        <v>211</v>
      </c>
      <c r="L9" s="82">
        <v>43872</v>
      </c>
      <c r="M9" s="82">
        <v>43875</v>
      </c>
      <c r="N9" s="178">
        <f t="shared" si="0"/>
        <v>778.26</v>
      </c>
      <c r="O9" s="178">
        <f t="shared" si="1"/>
        <v>778.26</v>
      </c>
      <c r="P9" s="178">
        <v>1556.52</v>
      </c>
      <c r="Q9" s="177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177"/>
    </row>
    <row r="10" spans="1:24" ht="38.25">
      <c r="A10" s="177" t="s">
        <v>233</v>
      </c>
      <c r="B10" s="177" t="s">
        <v>233</v>
      </c>
      <c r="C10" s="177" t="s">
        <v>568</v>
      </c>
      <c r="D10" s="80"/>
      <c r="E10" s="81" t="s">
        <v>50</v>
      </c>
      <c r="F10" s="77" t="s">
        <v>569</v>
      </c>
      <c r="G10" s="79" t="s">
        <v>36</v>
      </c>
      <c r="H10" s="79" t="s">
        <v>37</v>
      </c>
      <c r="I10" s="79" t="s">
        <v>38</v>
      </c>
      <c r="J10" s="79" t="s">
        <v>39</v>
      </c>
      <c r="K10" s="79" t="s">
        <v>570</v>
      </c>
      <c r="L10" s="82">
        <v>43878</v>
      </c>
      <c r="M10" s="82">
        <v>43879</v>
      </c>
      <c r="N10" s="178">
        <f t="shared" si="0"/>
        <v>912.6</v>
      </c>
      <c r="O10" s="178">
        <f t="shared" si="1"/>
        <v>912.6</v>
      </c>
      <c r="P10" s="178">
        <v>1825.2</v>
      </c>
      <c r="Q10" s="77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7"/>
    </row>
    <row r="11" spans="1:24" ht="25.5">
      <c r="A11" s="177" t="s">
        <v>233</v>
      </c>
      <c r="B11" s="177" t="s">
        <v>233</v>
      </c>
      <c r="C11" s="177" t="s">
        <v>571</v>
      </c>
      <c r="D11" s="56" t="s">
        <v>321</v>
      </c>
      <c r="E11" s="20" t="s">
        <v>343</v>
      </c>
      <c r="F11" s="77" t="s">
        <v>569</v>
      </c>
      <c r="G11" s="79" t="s">
        <v>36</v>
      </c>
      <c r="H11" s="79" t="s">
        <v>37</v>
      </c>
      <c r="I11" s="79" t="s">
        <v>38</v>
      </c>
      <c r="J11" s="79" t="s">
        <v>39</v>
      </c>
      <c r="K11" s="79" t="s">
        <v>570</v>
      </c>
      <c r="L11" s="82">
        <v>43878</v>
      </c>
      <c r="M11" s="82">
        <v>43879</v>
      </c>
      <c r="N11" s="178">
        <f t="shared" si="0"/>
        <v>860.1</v>
      </c>
      <c r="O11" s="178">
        <f t="shared" si="1"/>
        <v>860.1</v>
      </c>
      <c r="P11" s="178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77</v>
      </c>
    </row>
    <row r="12" spans="1:24" ht="25.5">
      <c r="A12" s="97" t="s">
        <v>371</v>
      </c>
      <c r="B12" s="97" t="s">
        <v>371</v>
      </c>
      <c r="C12" s="97" t="s">
        <v>137</v>
      </c>
      <c r="D12" s="29" t="s">
        <v>141</v>
      </c>
      <c r="E12" s="20" t="s">
        <v>343</v>
      </c>
      <c r="F12" s="77" t="s">
        <v>569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570</v>
      </c>
      <c r="L12" s="69">
        <v>43878</v>
      </c>
      <c r="M12" s="69">
        <v>43879</v>
      </c>
      <c r="N12" s="179">
        <f t="shared" si="0"/>
        <v>690.43499999999995</v>
      </c>
      <c r="O12" s="179">
        <f t="shared" si="1"/>
        <v>690.43499999999995</v>
      </c>
      <c r="P12" s="179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77</v>
      </c>
    </row>
    <row r="18" spans="3:17">
      <c r="Q18" s="83"/>
    </row>
    <row r="19" spans="3:17">
      <c r="Q19" s="83"/>
    </row>
    <row r="20" spans="3:17">
      <c r="Q20" s="83"/>
    </row>
    <row r="21" spans="3:17">
      <c r="Q21" s="83"/>
    </row>
    <row r="23" spans="3:17" ht="25.5">
      <c r="C23" s="29"/>
      <c r="D23" s="20" t="s">
        <v>562</v>
      </c>
    </row>
    <row r="24" spans="3:17" ht="51">
      <c r="C24" s="80"/>
      <c r="D24" s="81" t="s">
        <v>50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42979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51">
      <c r="A10" s="27" t="s">
        <v>31</v>
      </c>
      <c r="B10" s="27" t="s">
        <v>91</v>
      </c>
      <c r="C10" s="27" t="s">
        <v>92</v>
      </c>
      <c r="D10" s="29" t="s">
        <v>93</v>
      </c>
      <c r="E10" s="34" t="s">
        <v>94</v>
      </c>
      <c r="F10" s="34" t="s">
        <v>95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>
      <c r="A11" s="27" t="s">
        <v>31</v>
      </c>
      <c r="B11" s="27" t="s">
        <v>81</v>
      </c>
      <c r="C11" s="34" t="s">
        <v>96</v>
      </c>
      <c r="D11" s="29" t="s">
        <v>97</v>
      </c>
      <c r="E11" s="34" t="s">
        <v>98</v>
      </c>
      <c r="F11" s="34" t="s">
        <v>99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>
      <c r="A12" s="27" t="s">
        <v>31</v>
      </c>
      <c r="B12" s="27" t="s">
        <v>32</v>
      </c>
      <c r="C12" s="27" t="s">
        <v>100</v>
      </c>
      <c r="D12" s="29" t="s">
        <v>101</v>
      </c>
      <c r="E12" s="34" t="s">
        <v>102</v>
      </c>
      <c r="F12" s="34" t="s">
        <v>103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>
      <c r="A13" s="27" t="s">
        <v>106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108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>
      <c r="A14" s="27" t="s">
        <v>106</v>
      </c>
      <c r="B14" s="27" t="s">
        <v>53</v>
      </c>
      <c r="C14" s="27" t="s">
        <v>54</v>
      </c>
      <c r="D14" s="29" t="s">
        <v>88</v>
      </c>
      <c r="E14" s="20" t="s">
        <v>55</v>
      </c>
      <c r="F14" s="34" t="s">
        <v>108</v>
      </c>
      <c r="G14" s="30" t="s">
        <v>36</v>
      </c>
      <c r="H14" s="27" t="s">
        <v>37</v>
      </c>
      <c r="I14" s="27" t="s">
        <v>38</v>
      </c>
      <c r="J14" s="27" t="s">
        <v>109</v>
      </c>
      <c r="K14" s="31" t="s">
        <v>110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>
      <c r="A15" s="27" t="s">
        <v>31</v>
      </c>
      <c r="B15" s="27" t="s">
        <v>111</v>
      </c>
      <c r="C15" s="27" t="s">
        <v>112</v>
      </c>
      <c r="D15" s="29" t="s">
        <v>113</v>
      </c>
      <c r="E15" s="34" t="s">
        <v>114</v>
      </c>
      <c r="F15" s="34" t="s">
        <v>115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>
      <c r="A16" s="27" t="s">
        <v>31</v>
      </c>
      <c r="B16" s="27" t="s">
        <v>31</v>
      </c>
      <c r="C16" s="27" t="s">
        <v>49</v>
      </c>
      <c r="D16" s="29" t="s">
        <v>107</v>
      </c>
      <c r="E16" s="20" t="s">
        <v>50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>
      <c r="A17" s="27" t="s">
        <v>106</v>
      </c>
      <c r="B17" s="27" t="s">
        <v>64</v>
      </c>
      <c r="C17" s="27" t="s">
        <v>118</v>
      </c>
      <c r="D17" s="29" t="s">
        <v>119</v>
      </c>
      <c r="E17" s="34" t="s">
        <v>120</v>
      </c>
      <c r="F17" s="34" t="s">
        <v>121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>
      <c r="A18" s="27" t="s">
        <v>106</v>
      </c>
      <c r="B18" s="27" t="s">
        <v>52</v>
      </c>
      <c r="C18" s="27" t="s">
        <v>86</v>
      </c>
      <c r="D18" s="29" t="s">
        <v>107</v>
      </c>
      <c r="E18" s="20" t="s">
        <v>87</v>
      </c>
      <c r="F18" s="34" t="s">
        <v>122</v>
      </c>
      <c r="G18" s="30" t="s">
        <v>36</v>
      </c>
      <c r="H18" s="27" t="s">
        <v>37</v>
      </c>
      <c r="I18" s="27" t="s">
        <v>38</v>
      </c>
      <c r="J18" s="27" t="s">
        <v>116</v>
      </c>
      <c r="K18" s="31" t="s">
        <v>117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>
      <c r="A19" s="27" t="s">
        <v>106</v>
      </c>
      <c r="B19" s="27" t="s">
        <v>53</v>
      </c>
      <c r="C19" s="27" t="s">
        <v>54</v>
      </c>
      <c r="D19" s="29" t="s">
        <v>88</v>
      </c>
      <c r="E19" s="20" t="s">
        <v>55</v>
      </c>
      <c r="F19" s="34" t="s">
        <v>122</v>
      </c>
      <c r="G19" s="30" t="s">
        <v>36</v>
      </c>
      <c r="H19" s="27" t="s">
        <v>37</v>
      </c>
      <c r="I19" s="27" t="s">
        <v>38</v>
      </c>
      <c r="J19" s="27" t="s">
        <v>116</v>
      </c>
      <c r="K19" s="31" t="s">
        <v>117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>
      <c r="A20" s="27" t="s">
        <v>106</v>
      </c>
      <c r="B20" s="27" t="s">
        <v>52</v>
      </c>
      <c r="C20" s="27" t="s">
        <v>86</v>
      </c>
      <c r="D20" s="29" t="s">
        <v>107</v>
      </c>
      <c r="E20" s="20" t="s">
        <v>87</v>
      </c>
      <c r="F20" s="34" t="s">
        <v>90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>
      <c r="A21" s="27" t="s">
        <v>106</v>
      </c>
      <c r="B21" s="27" t="s">
        <v>53</v>
      </c>
      <c r="C21" s="27" t="s">
        <v>54</v>
      </c>
      <c r="D21" s="29" t="s">
        <v>88</v>
      </c>
      <c r="E21" s="20" t="s">
        <v>55</v>
      </c>
      <c r="F21" s="34" t="s">
        <v>90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>
      <c r="A22" s="27" t="s">
        <v>31</v>
      </c>
      <c r="B22" s="27" t="s">
        <v>31</v>
      </c>
      <c r="C22" s="27" t="s">
        <v>123</v>
      </c>
      <c r="D22" s="29" t="s">
        <v>124</v>
      </c>
      <c r="E22" s="34" t="s">
        <v>125</v>
      </c>
      <c r="F22" s="34" t="s">
        <v>126</v>
      </c>
      <c r="G22" s="30" t="s">
        <v>36</v>
      </c>
      <c r="H22" s="27" t="s">
        <v>37</v>
      </c>
      <c r="I22" s="27" t="s">
        <v>38</v>
      </c>
      <c r="J22" s="27" t="s">
        <v>127</v>
      </c>
      <c r="K22" s="31" t="s">
        <v>63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>
      <c r="A23" s="27" t="s">
        <v>106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128</v>
      </c>
      <c r="G23" s="30" t="s">
        <v>36</v>
      </c>
      <c r="H23" s="27" t="s">
        <v>37</v>
      </c>
      <c r="I23" s="27" t="s">
        <v>38</v>
      </c>
      <c r="J23" s="27" t="s">
        <v>127</v>
      </c>
      <c r="K23" s="31" t="s">
        <v>63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>
      <c r="A24" s="27" t="s">
        <v>106</v>
      </c>
      <c r="B24" s="27" t="s">
        <v>53</v>
      </c>
      <c r="C24" s="27" t="s">
        <v>54</v>
      </c>
      <c r="D24" s="29" t="s">
        <v>88</v>
      </c>
      <c r="E24" s="20" t="s">
        <v>55</v>
      </c>
      <c r="F24" s="34" t="s">
        <v>128</v>
      </c>
      <c r="G24" s="30" t="s">
        <v>36</v>
      </c>
      <c r="H24" s="27" t="s">
        <v>37</v>
      </c>
      <c r="I24" s="27" t="s">
        <v>38</v>
      </c>
      <c r="J24" s="27" t="s">
        <v>127</v>
      </c>
      <c r="K24" s="31" t="s">
        <v>63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>
      <c r="A25" s="27" t="s">
        <v>44</v>
      </c>
      <c r="B25" s="27" t="s">
        <v>44</v>
      </c>
      <c r="C25" s="27" t="s">
        <v>79</v>
      </c>
      <c r="D25" s="29" t="s">
        <v>107</v>
      </c>
      <c r="E25" s="20" t="s">
        <v>80</v>
      </c>
      <c r="F25" s="34" t="s">
        <v>128</v>
      </c>
      <c r="G25" s="30" t="s">
        <v>36</v>
      </c>
      <c r="H25" s="27" t="s">
        <v>116</v>
      </c>
      <c r="I25" s="31" t="s">
        <v>117</v>
      </c>
      <c r="J25" s="27" t="s">
        <v>127</v>
      </c>
      <c r="K25" s="31" t="s">
        <v>63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>
      <c r="A26" s="27" t="s">
        <v>44</v>
      </c>
      <c r="B26" s="27" t="s">
        <v>129</v>
      </c>
      <c r="C26" s="27" t="s">
        <v>130</v>
      </c>
      <c r="D26" s="29" t="s">
        <v>131</v>
      </c>
      <c r="E26" s="34" t="s">
        <v>132</v>
      </c>
      <c r="F26" s="34" t="s">
        <v>126</v>
      </c>
      <c r="G26" s="30" t="s">
        <v>36</v>
      </c>
      <c r="H26" s="27" t="s">
        <v>37</v>
      </c>
      <c r="I26" s="27" t="s">
        <v>38</v>
      </c>
      <c r="J26" s="27" t="s">
        <v>127</v>
      </c>
      <c r="K26" s="31" t="s">
        <v>63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25.5">
      <c r="A5" s="97" t="s">
        <v>228</v>
      </c>
      <c r="B5" s="97" t="s">
        <v>566</v>
      </c>
      <c r="C5" s="97" t="s">
        <v>54</v>
      </c>
      <c r="D5" s="29" t="s">
        <v>88</v>
      </c>
      <c r="E5" s="20" t="s">
        <v>55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39</v>
      </c>
      <c r="K5" s="53" t="s">
        <v>40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77</v>
      </c>
    </row>
    <row r="6" spans="1:24" ht="38.25">
      <c r="A6" s="177" t="s">
        <v>233</v>
      </c>
      <c r="B6" s="177" t="s">
        <v>233</v>
      </c>
      <c r="C6" s="177" t="s">
        <v>568</v>
      </c>
      <c r="D6" s="80"/>
      <c r="E6" s="81" t="s">
        <v>50</v>
      </c>
      <c r="F6" s="53" t="s">
        <v>563</v>
      </c>
      <c r="G6" s="79" t="s">
        <v>36</v>
      </c>
      <c r="H6" s="79" t="s">
        <v>37</v>
      </c>
      <c r="I6" s="79" t="s">
        <v>38</v>
      </c>
      <c r="J6" s="53" t="s">
        <v>39</v>
      </c>
      <c r="K6" s="53" t="s">
        <v>40</v>
      </c>
      <c r="L6" s="82">
        <v>43902</v>
      </c>
      <c r="M6" s="82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177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177"/>
    </row>
    <row r="7" spans="1:24" ht="38.25">
      <c r="A7" s="97" t="s">
        <v>253</v>
      </c>
      <c r="B7" s="97" t="s">
        <v>212</v>
      </c>
      <c r="C7" s="97" t="s">
        <v>100</v>
      </c>
      <c r="D7" s="29" t="s">
        <v>101</v>
      </c>
      <c r="E7" s="20" t="s">
        <v>102</v>
      </c>
      <c r="F7" s="53" t="s">
        <v>558</v>
      </c>
      <c r="G7" s="53" t="s">
        <v>36</v>
      </c>
      <c r="H7" s="53" t="s">
        <v>37</v>
      </c>
      <c r="I7" s="53" t="s">
        <v>38</v>
      </c>
      <c r="J7" s="53" t="s">
        <v>62</v>
      </c>
      <c r="K7" s="53" t="s">
        <v>414</v>
      </c>
      <c r="L7" s="69">
        <v>43892</v>
      </c>
      <c r="M7" s="69">
        <v>43895</v>
      </c>
      <c r="N7" s="179">
        <f>2026.59/2</f>
        <v>1013.295</v>
      </c>
      <c r="O7" s="179">
        <f>2026.59/2</f>
        <v>1013.295</v>
      </c>
      <c r="P7" s="70">
        <f t="shared" si="0"/>
        <v>2026.59</v>
      </c>
      <c r="Q7" s="8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7"/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51">
      <c r="A5" s="97" t="s">
        <v>371</v>
      </c>
      <c r="B5" s="97" t="s">
        <v>396</v>
      </c>
      <c r="C5" s="97" t="s">
        <v>267</v>
      </c>
      <c r="D5" s="29" t="s">
        <v>572</v>
      </c>
      <c r="E5" s="20" t="s">
        <v>157</v>
      </c>
      <c r="F5" s="53" t="s">
        <v>573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.5">
      <c r="A6" s="97" t="s">
        <v>253</v>
      </c>
      <c r="B6" s="97" t="s">
        <v>259</v>
      </c>
      <c r="C6" s="97" t="s">
        <v>320</v>
      </c>
      <c r="D6" s="56" t="s">
        <v>321</v>
      </c>
      <c r="E6" s="20" t="s">
        <v>343</v>
      </c>
      <c r="F6" s="53" t="s">
        <v>574</v>
      </c>
      <c r="G6" s="53" t="s">
        <v>36</v>
      </c>
      <c r="H6" s="53" t="s">
        <v>37</v>
      </c>
      <c r="I6" s="53" t="s">
        <v>38</v>
      </c>
      <c r="J6" s="53" t="s">
        <v>37</v>
      </c>
      <c r="K6" s="53" t="s">
        <v>391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25.5">
      <c r="A5" s="97" t="s">
        <v>253</v>
      </c>
      <c r="B5" s="97" t="s">
        <v>212</v>
      </c>
      <c r="C5" s="97" t="s">
        <v>539</v>
      </c>
      <c r="D5" s="56" t="s">
        <v>540</v>
      </c>
      <c r="E5" s="20" t="s">
        <v>541</v>
      </c>
      <c r="F5" s="53" t="s">
        <v>575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43009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27" t="s">
        <v>44</v>
      </c>
      <c r="B10" s="27" t="s">
        <v>133</v>
      </c>
      <c r="C10" s="34" t="s">
        <v>134</v>
      </c>
      <c r="D10" s="29" t="s">
        <v>135</v>
      </c>
      <c r="E10" s="34" t="s">
        <v>60</v>
      </c>
      <c r="F10" s="34" t="s">
        <v>136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>
      <c r="A11" s="27" t="s">
        <v>44</v>
      </c>
      <c r="B11" s="27" t="s">
        <v>133</v>
      </c>
      <c r="C11" s="27" t="s">
        <v>137</v>
      </c>
      <c r="D11" s="29" t="s">
        <v>138</v>
      </c>
      <c r="E11" s="34" t="s">
        <v>139</v>
      </c>
      <c r="F11" s="34" t="s">
        <v>136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>
      <c r="A12" s="27" t="s">
        <v>44</v>
      </c>
      <c r="B12" s="27" t="s">
        <v>133</v>
      </c>
      <c r="C12" s="27" t="s">
        <v>140</v>
      </c>
      <c r="D12" s="29" t="s">
        <v>141</v>
      </c>
      <c r="E12" s="20" t="s">
        <v>142</v>
      </c>
      <c r="F12" s="34" t="s">
        <v>136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>
      <c r="A13" s="27" t="s">
        <v>52</v>
      </c>
      <c r="B13" s="27" t="s">
        <v>143</v>
      </c>
      <c r="C13" s="27" t="s">
        <v>144</v>
      </c>
      <c r="D13" s="29" t="s">
        <v>145</v>
      </c>
      <c r="E13" s="20" t="s">
        <v>146</v>
      </c>
      <c r="F13" s="34" t="s">
        <v>147</v>
      </c>
      <c r="G13" s="30" t="s">
        <v>36</v>
      </c>
      <c r="H13" s="27" t="s">
        <v>37</v>
      </c>
      <c r="I13" s="27" t="s">
        <v>38</v>
      </c>
      <c r="J13" s="27" t="s">
        <v>148</v>
      </c>
      <c r="K13" s="31" t="s">
        <v>149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>
      <c r="A14" s="27" t="s">
        <v>52</v>
      </c>
      <c r="B14" s="27" t="s">
        <v>143</v>
      </c>
      <c r="C14" s="27" t="s">
        <v>144</v>
      </c>
      <c r="D14" s="29" t="s">
        <v>145</v>
      </c>
      <c r="E14" s="20" t="s">
        <v>146</v>
      </c>
      <c r="F14" s="34" t="s">
        <v>150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>
      <c r="A15" s="27" t="s">
        <v>44</v>
      </c>
      <c r="B15" s="27" t="s">
        <v>151</v>
      </c>
      <c r="C15" s="27" t="s">
        <v>152</v>
      </c>
      <c r="D15" s="29" t="s">
        <v>153</v>
      </c>
      <c r="E15" s="20" t="s">
        <v>154</v>
      </c>
      <c r="F15" s="34" t="s">
        <v>147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149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>
      <c r="A16" s="27" t="s">
        <v>44</v>
      </c>
      <c r="B16" s="27" t="s">
        <v>151</v>
      </c>
      <c r="C16" s="27" t="s">
        <v>155</v>
      </c>
      <c r="D16" s="29" t="s">
        <v>156</v>
      </c>
      <c r="E16" s="34" t="s">
        <v>157</v>
      </c>
      <c r="F16" s="34" t="s">
        <v>147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149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>
      <c r="A17" s="27" t="s">
        <v>52</v>
      </c>
      <c r="B17" s="27" t="s">
        <v>143</v>
      </c>
      <c r="C17" s="27" t="s">
        <v>158</v>
      </c>
      <c r="D17" s="29" t="s">
        <v>159</v>
      </c>
      <c r="E17" s="20" t="s">
        <v>160</v>
      </c>
      <c r="F17" s="34" t="s">
        <v>150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>
      <c r="A18" s="27" t="s">
        <v>31</v>
      </c>
      <c r="B18" s="27" t="s">
        <v>81</v>
      </c>
      <c r="C18" s="27" t="s">
        <v>82</v>
      </c>
      <c r="D18" s="29" t="s">
        <v>83</v>
      </c>
      <c r="E18" s="20" t="s">
        <v>84</v>
      </c>
      <c r="F18" s="34" t="s">
        <v>161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>
      <c r="A19" s="27" t="s">
        <v>44</v>
      </c>
      <c r="B19" s="27" t="s">
        <v>162</v>
      </c>
      <c r="C19" s="27" t="s">
        <v>76</v>
      </c>
      <c r="D19" s="29" t="s">
        <v>107</v>
      </c>
      <c r="E19" s="14" t="s">
        <v>78</v>
      </c>
      <c r="F19" s="34" t="s">
        <v>136</v>
      </c>
      <c r="G19" s="30" t="s">
        <v>36</v>
      </c>
      <c r="H19" s="27" t="s">
        <v>116</v>
      </c>
      <c r="I19" s="27" t="s">
        <v>117</v>
      </c>
      <c r="J19" s="27" t="s">
        <v>39</v>
      </c>
      <c r="K19" s="31" t="s">
        <v>40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>
      <c r="A20" s="27" t="s">
        <v>44</v>
      </c>
      <c r="B20" s="27" t="s">
        <v>133</v>
      </c>
      <c r="C20" s="27" t="s">
        <v>137</v>
      </c>
      <c r="D20" s="29" t="s">
        <v>138</v>
      </c>
      <c r="E20" s="20" t="s">
        <v>139</v>
      </c>
      <c r="F20" s="34" t="s">
        <v>163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>
      <c r="A21" s="27" t="s">
        <v>31</v>
      </c>
      <c r="B21" s="27" t="s">
        <v>81</v>
      </c>
      <c r="C21" s="27" t="s">
        <v>96</v>
      </c>
      <c r="D21" s="29" t="s">
        <v>97</v>
      </c>
      <c r="E21" s="34" t="s">
        <v>164</v>
      </c>
      <c r="F21" s="34" t="s">
        <v>165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>
      <c r="A22" s="27" t="s">
        <v>52</v>
      </c>
      <c r="B22" s="27" t="s">
        <v>53</v>
      </c>
      <c r="C22" s="27" t="s">
        <v>54</v>
      </c>
      <c r="D22" s="29" t="s">
        <v>88</v>
      </c>
      <c r="E22" s="20" t="s">
        <v>55</v>
      </c>
      <c r="F22" s="34" t="s">
        <v>166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>
      <c r="A23" s="27" t="s">
        <v>31</v>
      </c>
      <c r="B23" s="27" t="s">
        <v>32</v>
      </c>
      <c r="C23" s="27" t="s">
        <v>167</v>
      </c>
      <c r="D23" s="29" t="s">
        <v>168</v>
      </c>
      <c r="E23" s="20" t="s">
        <v>169</v>
      </c>
      <c r="F23" s="34" t="s">
        <v>170</v>
      </c>
      <c r="G23" s="30" t="s">
        <v>36</v>
      </c>
      <c r="H23" s="27" t="s">
        <v>37</v>
      </c>
      <c r="I23" s="27" t="s">
        <v>38</v>
      </c>
      <c r="J23" s="27" t="s">
        <v>116</v>
      </c>
      <c r="K23" s="27" t="s">
        <v>117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>
      <c r="A24" s="27" t="s">
        <v>31</v>
      </c>
      <c r="B24" s="27" t="s">
        <v>32</v>
      </c>
      <c r="C24" s="27" t="s">
        <v>41</v>
      </c>
      <c r="D24" s="29" t="s">
        <v>171</v>
      </c>
      <c r="E24" s="20" t="s">
        <v>42</v>
      </c>
      <c r="F24" s="34" t="s">
        <v>103</v>
      </c>
      <c r="G24" s="30" t="s">
        <v>36</v>
      </c>
      <c r="H24" s="27" t="s">
        <v>37</v>
      </c>
      <c r="I24" s="27" t="s">
        <v>38</v>
      </c>
      <c r="J24" s="27" t="s">
        <v>116</v>
      </c>
      <c r="K24" s="27" t="s">
        <v>117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>
      <c r="A25" s="27" t="s">
        <v>31</v>
      </c>
      <c r="B25" s="27" t="s">
        <v>31</v>
      </c>
      <c r="C25" s="27" t="s">
        <v>49</v>
      </c>
      <c r="D25" s="29" t="s">
        <v>107</v>
      </c>
      <c r="E25" s="20" t="s">
        <v>50</v>
      </c>
      <c r="F25" s="34" t="s">
        <v>172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>
      <c r="A26" s="27" t="s">
        <v>31</v>
      </c>
      <c r="B26" s="27" t="s">
        <v>81</v>
      </c>
      <c r="C26" s="27" t="s">
        <v>173</v>
      </c>
      <c r="D26" s="29" t="s">
        <v>174</v>
      </c>
      <c r="E26" s="20" t="s">
        <v>175</v>
      </c>
      <c r="F26" s="34" t="s">
        <v>165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161</v>
      </c>
      <c r="G27" s="30" t="s">
        <v>36</v>
      </c>
      <c r="H27" s="27" t="s">
        <v>37</v>
      </c>
      <c r="I27" s="27" t="s">
        <v>38</v>
      </c>
      <c r="J27" s="27" t="s">
        <v>116</v>
      </c>
      <c r="K27" s="27" t="s">
        <v>117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>
      <c r="A28" s="27" t="s">
        <v>52</v>
      </c>
      <c r="B28" s="27" t="s">
        <v>52</v>
      </c>
      <c r="C28" s="27" t="s">
        <v>86</v>
      </c>
      <c r="D28" s="29" t="s">
        <v>107</v>
      </c>
      <c r="E28" s="20" t="s">
        <v>87</v>
      </c>
      <c r="F28" s="34" t="s">
        <v>161</v>
      </c>
      <c r="G28" s="30" t="s">
        <v>36</v>
      </c>
      <c r="H28" s="27" t="s">
        <v>37</v>
      </c>
      <c r="I28" s="27" t="s">
        <v>38</v>
      </c>
      <c r="J28" s="27" t="s">
        <v>116</v>
      </c>
      <c r="K28" s="27" t="s">
        <v>117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>
      <c r="A29" s="27" t="s">
        <v>44</v>
      </c>
      <c r="B29" s="27" t="s">
        <v>162</v>
      </c>
      <c r="C29" s="27" t="s">
        <v>76</v>
      </c>
      <c r="D29" s="29" t="s">
        <v>107</v>
      </c>
      <c r="E29" s="14" t="s">
        <v>78</v>
      </c>
      <c r="F29" s="34" t="s">
        <v>176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>
      <c r="A30" s="27" t="s">
        <v>44</v>
      </c>
      <c r="B30" s="27" t="s">
        <v>44</v>
      </c>
      <c r="C30" s="27" t="s">
        <v>79</v>
      </c>
      <c r="D30" s="29" t="s">
        <v>107</v>
      </c>
      <c r="E30" s="20" t="s">
        <v>80</v>
      </c>
      <c r="F30" s="34" t="s">
        <v>176</v>
      </c>
      <c r="G30" s="30" t="s">
        <v>36</v>
      </c>
      <c r="H30" s="27" t="s">
        <v>37</v>
      </c>
      <c r="I30" s="27" t="s">
        <v>38</v>
      </c>
      <c r="J30" s="27" t="s">
        <v>39</v>
      </c>
      <c r="K30" s="31" t="s">
        <v>40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>
      <c r="A31" s="27" t="s">
        <v>52</v>
      </c>
      <c r="B31" s="27" t="s">
        <v>52</v>
      </c>
      <c r="C31" s="27" t="s">
        <v>86</v>
      </c>
      <c r="D31" s="29" t="s">
        <v>107</v>
      </c>
      <c r="E31" s="20" t="s">
        <v>87</v>
      </c>
      <c r="F31" s="34" t="s">
        <v>51</v>
      </c>
      <c r="G31" s="30" t="s">
        <v>36</v>
      </c>
      <c r="H31" s="27" t="s">
        <v>37</v>
      </c>
      <c r="I31" s="27" t="s">
        <v>38</v>
      </c>
      <c r="J31" s="27" t="s">
        <v>39</v>
      </c>
      <c r="K31" s="31" t="s">
        <v>40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>
      <c r="A32" s="27" t="s">
        <v>31</v>
      </c>
      <c r="B32" s="27" t="s">
        <v>31</v>
      </c>
      <c r="C32" s="27" t="s">
        <v>49</v>
      </c>
      <c r="D32" s="29" t="s">
        <v>107</v>
      </c>
      <c r="E32" s="20" t="s">
        <v>50</v>
      </c>
      <c r="F32" s="34" t="s">
        <v>51</v>
      </c>
      <c r="G32" s="30" t="s">
        <v>36</v>
      </c>
      <c r="H32" s="27" t="s">
        <v>37</v>
      </c>
      <c r="I32" s="27" t="s">
        <v>38</v>
      </c>
      <c r="J32" s="27" t="s">
        <v>39</v>
      </c>
      <c r="K32" s="31" t="s">
        <v>40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25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77</v>
      </c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253</v>
      </c>
      <c r="B5" s="97" t="s">
        <v>234</v>
      </c>
      <c r="C5" s="97" t="s">
        <v>576</v>
      </c>
      <c r="D5" s="97">
        <v>285</v>
      </c>
      <c r="E5" s="97" t="s">
        <v>577</v>
      </c>
      <c r="F5" s="97" t="s">
        <v>578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5">
      <c r="A6" s="97" t="s">
        <v>253</v>
      </c>
      <c r="B6" s="97" t="s">
        <v>234</v>
      </c>
      <c r="C6" s="97" t="s">
        <v>579</v>
      </c>
      <c r="D6" s="97">
        <v>218</v>
      </c>
      <c r="E6" s="97" t="s">
        <v>580</v>
      </c>
      <c r="F6" s="97" t="s">
        <v>578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5">
      <c r="A7" s="180" t="s">
        <v>253</v>
      </c>
      <c r="B7" s="180" t="s">
        <v>259</v>
      </c>
      <c r="C7" s="180" t="s">
        <v>185</v>
      </c>
      <c r="D7" s="180">
        <v>119</v>
      </c>
      <c r="E7" s="161" t="s">
        <v>581</v>
      </c>
      <c r="F7" s="180" t="s">
        <v>582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583</v>
      </c>
      <c r="L7" s="69">
        <v>44312</v>
      </c>
      <c r="M7" s="69">
        <v>44313</v>
      </c>
      <c r="N7" s="162">
        <v>0</v>
      </c>
      <c r="O7" s="162">
        <v>0</v>
      </c>
      <c r="P7" s="157">
        <f t="shared" si="0"/>
        <v>0</v>
      </c>
      <c r="Q7" s="159">
        <v>5</v>
      </c>
      <c r="R7" s="163">
        <v>120</v>
      </c>
      <c r="S7" s="159">
        <v>0</v>
      </c>
      <c r="T7" s="163">
        <v>0</v>
      </c>
      <c r="U7" s="157">
        <f t="shared" si="1"/>
        <v>600</v>
      </c>
      <c r="V7" s="157">
        <f t="shared" si="2"/>
        <v>600</v>
      </c>
      <c r="W7" s="157">
        <f t="shared" si="3"/>
        <v>600</v>
      </c>
      <c r="X7" s="159"/>
    </row>
    <row r="8" spans="1:24" ht="15">
      <c r="A8" s="181"/>
      <c r="B8" s="181"/>
      <c r="C8" s="181"/>
      <c r="D8" s="181"/>
      <c r="E8" s="161"/>
      <c r="F8" s="181"/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44313</v>
      </c>
      <c r="M8" s="69">
        <v>44316</v>
      </c>
      <c r="N8" s="162"/>
      <c r="O8" s="162"/>
      <c r="P8" s="158"/>
      <c r="Q8" s="160"/>
      <c r="R8" s="164"/>
      <c r="S8" s="160"/>
      <c r="T8" s="164"/>
      <c r="U8" s="158"/>
      <c r="V8" s="158"/>
      <c r="W8" s="158"/>
      <c r="X8" s="160"/>
    </row>
    <row r="9" spans="1:24" ht="15">
      <c r="A9" s="180" t="s">
        <v>253</v>
      </c>
      <c r="B9" s="180" t="s">
        <v>212</v>
      </c>
      <c r="C9" s="180" t="s">
        <v>270</v>
      </c>
      <c r="D9" s="180">
        <v>158</v>
      </c>
      <c r="E9" s="161" t="s">
        <v>584</v>
      </c>
      <c r="F9" s="180" t="s">
        <v>585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583</v>
      </c>
      <c r="L9" s="69">
        <v>44312</v>
      </c>
      <c r="M9" s="69">
        <v>44313</v>
      </c>
      <c r="N9" s="162">
        <v>0</v>
      </c>
      <c r="O9" s="162">
        <v>0</v>
      </c>
      <c r="P9" s="157">
        <f t="shared" ref="P9" si="4">SUM(N9:O9)</f>
        <v>0</v>
      </c>
      <c r="Q9" s="159">
        <v>5</v>
      </c>
      <c r="R9" s="163">
        <v>120</v>
      </c>
      <c r="S9" s="159">
        <v>0</v>
      </c>
      <c r="T9" s="163">
        <v>0</v>
      </c>
      <c r="U9" s="157">
        <f t="shared" ref="U9" si="5">(Q9*R9)+(S9*T9)</f>
        <v>600</v>
      </c>
      <c r="V9" s="157">
        <f t="shared" ref="V9" si="6">U9+P9</f>
        <v>600</v>
      </c>
      <c r="W9" s="157">
        <f t="shared" ref="W9" si="7">V9</f>
        <v>600</v>
      </c>
      <c r="X9" s="159"/>
    </row>
    <row r="10" spans="1:24" ht="15">
      <c r="A10" s="181"/>
      <c r="B10" s="181"/>
      <c r="C10" s="181"/>
      <c r="D10" s="181"/>
      <c r="E10" s="161"/>
      <c r="F10" s="181"/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9">
        <v>44313</v>
      </c>
      <c r="M10" s="69">
        <v>44316</v>
      </c>
      <c r="N10" s="162"/>
      <c r="O10" s="162"/>
      <c r="P10" s="158"/>
      <c r="Q10" s="160"/>
      <c r="R10" s="164"/>
      <c r="S10" s="160"/>
      <c r="T10" s="164"/>
      <c r="U10" s="158"/>
      <c r="V10" s="158"/>
      <c r="W10" s="158"/>
      <c r="X10" s="160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228</v>
      </c>
      <c r="B5" s="97" t="s">
        <v>229</v>
      </c>
      <c r="C5" s="97" t="s">
        <v>586</v>
      </c>
      <c r="D5" s="97">
        <v>357</v>
      </c>
      <c r="E5" s="97" t="s">
        <v>587</v>
      </c>
      <c r="F5" s="97" t="s">
        <v>588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5">
      <c r="A6" s="97" t="s">
        <v>228</v>
      </c>
      <c r="B6" s="97" t="s">
        <v>229</v>
      </c>
      <c r="C6" s="97" t="s">
        <v>71</v>
      </c>
      <c r="D6" s="97">
        <v>303</v>
      </c>
      <c r="E6" s="97" t="s">
        <v>589</v>
      </c>
      <c r="F6" s="97" t="s">
        <v>588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5">
      <c r="A7" s="97" t="s">
        <v>228</v>
      </c>
      <c r="B7" s="97" t="s">
        <v>229</v>
      </c>
      <c r="C7" s="97" t="s">
        <v>590</v>
      </c>
      <c r="D7" s="97">
        <v>72</v>
      </c>
      <c r="E7" s="97" t="s">
        <v>591</v>
      </c>
      <c r="F7" s="97" t="s">
        <v>588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5">
      <c r="A8" s="97" t="s">
        <v>233</v>
      </c>
      <c r="B8" s="97" t="s">
        <v>259</v>
      </c>
      <c r="C8" s="97" t="s">
        <v>320</v>
      </c>
      <c r="D8" s="97">
        <v>346</v>
      </c>
      <c r="E8" s="97" t="s">
        <v>50</v>
      </c>
      <c r="F8" s="97" t="s">
        <v>592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233</v>
      </c>
      <c r="B5" s="97" t="s">
        <v>212</v>
      </c>
      <c r="C5" s="97" t="s">
        <v>270</v>
      </c>
      <c r="D5" s="97">
        <v>158</v>
      </c>
      <c r="E5" s="97" t="s">
        <v>593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5">
      <c r="A6" s="97" t="s">
        <v>233</v>
      </c>
      <c r="B6" s="97" t="s">
        <v>212</v>
      </c>
      <c r="C6" s="97" t="s">
        <v>387</v>
      </c>
      <c r="D6" s="97">
        <v>347</v>
      </c>
      <c r="E6" s="97" t="s">
        <v>34</v>
      </c>
      <c r="F6" s="97" t="s">
        <v>594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5">
      <c r="A7" s="97" t="s">
        <v>233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595</v>
      </c>
      <c r="B5" s="97" t="s">
        <v>595</v>
      </c>
      <c r="C5" s="97" t="s">
        <v>412</v>
      </c>
      <c r="D5" s="29"/>
      <c r="E5" s="20" t="s">
        <v>562</v>
      </c>
      <c r="F5" s="97" t="s">
        <v>596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5">
      <c r="A6" s="97" t="s">
        <v>253</v>
      </c>
      <c r="B6" s="97" t="s">
        <v>253</v>
      </c>
      <c r="C6" s="97" t="s">
        <v>486</v>
      </c>
      <c r="D6" s="80"/>
      <c r="E6" s="81" t="s">
        <v>50</v>
      </c>
      <c r="F6" s="97" t="s">
        <v>597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5">
      <c r="A7" s="97" t="s">
        <v>253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597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5">
      <c r="A8" s="97" t="s">
        <v>253</v>
      </c>
      <c r="B8" s="97" t="s">
        <v>212</v>
      </c>
      <c r="C8" s="97" t="s">
        <v>270</v>
      </c>
      <c r="D8" s="97">
        <v>158</v>
      </c>
      <c r="E8" s="97" t="s">
        <v>599</v>
      </c>
      <c r="F8" s="97" t="s">
        <v>597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253</v>
      </c>
      <c r="B5" s="97" t="s">
        <v>212</v>
      </c>
      <c r="C5" s="97" t="s">
        <v>270</v>
      </c>
      <c r="D5" s="29" t="s">
        <v>168</v>
      </c>
      <c r="E5" s="97" t="s">
        <v>599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391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5">
      <c r="A6" s="97" t="s">
        <v>253</v>
      </c>
      <c r="B6" s="97" t="s">
        <v>212</v>
      </c>
      <c r="C6" s="97" t="s">
        <v>387</v>
      </c>
      <c r="D6" s="80" t="s">
        <v>388</v>
      </c>
      <c r="E6" s="97" t="s">
        <v>34</v>
      </c>
      <c r="F6" s="97" t="s">
        <v>600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5">
      <c r="A7" s="97" t="s">
        <v>253</v>
      </c>
      <c r="B7" s="97" t="s">
        <v>322</v>
      </c>
      <c r="C7" s="97" t="s">
        <v>457</v>
      </c>
      <c r="D7" s="80">
        <v>144</v>
      </c>
      <c r="E7" s="97" t="s">
        <v>114</v>
      </c>
      <c r="F7" s="97" t="s">
        <v>601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5">
      <c r="A8" s="97" t="s">
        <v>253</v>
      </c>
      <c r="B8" s="97" t="s">
        <v>322</v>
      </c>
      <c r="C8" s="97" t="s">
        <v>350</v>
      </c>
      <c r="D8" s="80" t="s">
        <v>351</v>
      </c>
      <c r="E8" s="97" t="s">
        <v>114</v>
      </c>
      <c r="F8" s="97" t="s">
        <v>602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5">
      <c r="A9" s="97" t="s">
        <v>253</v>
      </c>
      <c r="B9" s="97" t="s">
        <v>322</v>
      </c>
      <c r="C9" s="97" t="s">
        <v>92</v>
      </c>
      <c r="D9" s="56" t="s">
        <v>93</v>
      </c>
      <c r="E9" s="97" t="s">
        <v>603</v>
      </c>
      <c r="F9" s="97" t="s">
        <v>602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.25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77" t="s">
        <v>253</v>
      </c>
      <c r="B5" s="77" t="s">
        <v>253</v>
      </c>
      <c r="C5" s="77" t="s">
        <v>320</v>
      </c>
      <c r="D5" s="77">
        <v>346</v>
      </c>
      <c r="E5" s="77" t="s">
        <v>50</v>
      </c>
      <c r="F5" s="77" t="s">
        <v>604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5">
      <c r="A6" s="77" t="s">
        <v>253</v>
      </c>
      <c r="B6" s="77" t="s">
        <v>212</v>
      </c>
      <c r="C6" s="77" t="s">
        <v>387</v>
      </c>
      <c r="D6" s="77" t="s">
        <v>388</v>
      </c>
      <c r="E6" s="77" t="s">
        <v>34</v>
      </c>
      <c r="F6" s="77" t="s">
        <v>605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77" t="s">
        <v>599</v>
      </c>
      <c r="F7" s="77" t="s">
        <v>606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5">
      <c r="A8" s="77" t="s">
        <v>253</v>
      </c>
      <c r="B8" s="77" t="s">
        <v>288</v>
      </c>
      <c r="C8" s="77" t="s">
        <v>237</v>
      </c>
      <c r="D8" s="85">
        <v>82</v>
      </c>
      <c r="E8" s="77" t="s">
        <v>84</v>
      </c>
      <c r="F8" s="77" t="s">
        <v>607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>
      <c r="Q9" s="83"/>
    </row>
    <row r="10" spans="1:24">
      <c r="Q10" s="83"/>
    </row>
    <row r="11" spans="1:24">
      <c r="Q11" s="83"/>
    </row>
    <row r="12" spans="1:24">
      <c r="Q12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77" t="s">
        <v>595</v>
      </c>
      <c r="B5" s="77" t="s">
        <v>544</v>
      </c>
      <c r="C5" s="77" t="s">
        <v>545</v>
      </c>
      <c r="D5" s="80">
        <v>353</v>
      </c>
      <c r="E5" s="97" t="s">
        <v>547</v>
      </c>
      <c r="F5" s="97" t="s">
        <v>608</v>
      </c>
      <c r="G5" s="97" t="s">
        <v>36</v>
      </c>
      <c r="H5" s="97" t="s">
        <v>37</v>
      </c>
      <c r="I5" s="97" t="s">
        <v>38</v>
      </c>
      <c r="J5" s="97" t="s">
        <v>598</v>
      </c>
      <c r="K5" s="97" t="s">
        <v>391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5">
      <c r="A6" s="77" t="s">
        <v>595</v>
      </c>
      <c r="B6" s="77" t="s">
        <v>366</v>
      </c>
      <c r="C6" s="77" t="s">
        <v>367</v>
      </c>
      <c r="D6" s="80">
        <v>23</v>
      </c>
      <c r="E6" s="97" t="s">
        <v>609</v>
      </c>
      <c r="F6" s="97" t="s">
        <v>608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5">
      <c r="A7" s="77" t="s">
        <v>595</v>
      </c>
      <c r="B7" s="77" t="s">
        <v>221</v>
      </c>
      <c r="C7" s="77" t="s">
        <v>54</v>
      </c>
      <c r="D7" s="80">
        <v>56</v>
      </c>
      <c r="E7" s="97" t="s">
        <v>610</v>
      </c>
      <c r="F7" s="97" t="s">
        <v>608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5">
      <c r="A8" s="77" t="s">
        <v>595</v>
      </c>
      <c r="B8" s="77" t="s">
        <v>221</v>
      </c>
      <c r="C8" s="77" t="s">
        <v>277</v>
      </c>
      <c r="D8" s="80">
        <v>157</v>
      </c>
      <c r="E8" s="97" t="s">
        <v>501</v>
      </c>
      <c r="F8" s="97" t="s">
        <v>608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5">
      <c r="A9" s="77" t="s">
        <v>595</v>
      </c>
      <c r="B9" s="77" t="s">
        <v>595</v>
      </c>
      <c r="C9" s="77" t="s">
        <v>412</v>
      </c>
      <c r="D9" s="86">
        <v>0</v>
      </c>
      <c r="E9" s="97" t="s">
        <v>562</v>
      </c>
      <c r="F9" s="97" t="s">
        <v>608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5">
      <c r="A10" s="77" t="s">
        <v>371</v>
      </c>
      <c r="B10" s="77" t="s">
        <v>371</v>
      </c>
      <c r="C10" s="77" t="s">
        <v>137</v>
      </c>
      <c r="D10" s="80">
        <v>202</v>
      </c>
      <c r="E10" s="97" t="s">
        <v>78</v>
      </c>
      <c r="F10" s="97" t="s">
        <v>608</v>
      </c>
      <c r="G10" s="97" t="s">
        <v>36</v>
      </c>
      <c r="H10" s="97" t="s">
        <v>37</v>
      </c>
      <c r="I10" s="97" t="s">
        <v>38</v>
      </c>
      <c r="J10" s="97" t="s">
        <v>598</v>
      </c>
      <c r="K10" s="97" t="s">
        <v>391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5">
      <c r="A11" s="77" t="s">
        <v>253</v>
      </c>
      <c r="B11" s="77" t="s">
        <v>259</v>
      </c>
      <c r="C11" s="77" t="s">
        <v>433</v>
      </c>
      <c r="D11" s="80">
        <v>264</v>
      </c>
      <c r="E11" s="97" t="s">
        <v>611</v>
      </c>
      <c r="F11" s="97" t="s">
        <v>608</v>
      </c>
      <c r="G11" s="97" t="s">
        <v>36</v>
      </c>
      <c r="H11" s="97" t="s">
        <v>37</v>
      </c>
      <c r="I11" s="97" t="s">
        <v>38</v>
      </c>
      <c r="J11" s="97" t="s">
        <v>598</v>
      </c>
      <c r="K11" s="97" t="s">
        <v>391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5">
      <c r="A12" s="77" t="s">
        <v>253</v>
      </c>
      <c r="B12" s="77" t="s">
        <v>253</v>
      </c>
      <c r="C12" s="77" t="s">
        <v>486</v>
      </c>
      <c r="D12" s="86">
        <v>0</v>
      </c>
      <c r="E12" s="97" t="s">
        <v>50</v>
      </c>
      <c r="F12" s="97" t="s">
        <v>608</v>
      </c>
      <c r="G12" s="97" t="s">
        <v>36</v>
      </c>
      <c r="H12" s="97" t="s">
        <v>37</v>
      </c>
      <c r="I12" s="97" t="s">
        <v>38</v>
      </c>
      <c r="J12" s="97" t="s">
        <v>598</v>
      </c>
      <c r="K12" s="97" t="s">
        <v>391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5">
      <c r="A13" s="77" t="s">
        <v>253</v>
      </c>
      <c r="B13" s="77" t="s">
        <v>212</v>
      </c>
      <c r="C13" s="77" t="s">
        <v>387</v>
      </c>
      <c r="D13" s="86">
        <v>347</v>
      </c>
      <c r="E13" s="97" t="s">
        <v>34</v>
      </c>
      <c r="F13" s="97" t="s">
        <v>608</v>
      </c>
      <c r="G13" s="97" t="s">
        <v>36</v>
      </c>
      <c r="H13" s="97" t="s">
        <v>37</v>
      </c>
      <c r="I13" s="97" t="s">
        <v>38</v>
      </c>
      <c r="J13" s="97" t="s">
        <v>598</v>
      </c>
      <c r="K13" s="97" t="s">
        <v>391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5">
      <c r="A14" s="77" t="s">
        <v>253</v>
      </c>
      <c r="B14" s="77" t="s">
        <v>253</v>
      </c>
      <c r="C14" s="77" t="s">
        <v>320</v>
      </c>
      <c r="D14" s="80">
        <v>346</v>
      </c>
      <c r="E14" s="97" t="s">
        <v>78</v>
      </c>
      <c r="F14" s="97" t="s">
        <v>608</v>
      </c>
      <c r="G14" s="97" t="s">
        <v>36</v>
      </c>
      <c r="H14" s="97" t="s">
        <v>37</v>
      </c>
      <c r="I14" s="97" t="s">
        <v>38</v>
      </c>
      <c r="J14" s="97" t="s">
        <v>598</v>
      </c>
      <c r="K14" s="97" t="s">
        <v>391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5">
      <c r="A15" s="77" t="s">
        <v>253</v>
      </c>
      <c r="B15" s="77" t="s">
        <v>288</v>
      </c>
      <c r="C15" s="77" t="s">
        <v>237</v>
      </c>
      <c r="D15" s="80">
        <v>82</v>
      </c>
      <c r="E15" s="97" t="s">
        <v>84</v>
      </c>
      <c r="F15" s="97" t="s">
        <v>608</v>
      </c>
      <c r="G15" s="97" t="s">
        <v>36</v>
      </c>
      <c r="H15" s="97" t="s">
        <v>37</v>
      </c>
      <c r="I15" s="97" t="s">
        <v>38</v>
      </c>
      <c r="J15" s="97" t="s">
        <v>598</v>
      </c>
      <c r="K15" s="97" t="s">
        <v>391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5">
      <c r="A16" s="77" t="s">
        <v>371</v>
      </c>
      <c r="B16" s="77" t="s">
        <v>371</v>
      </c>
      <c r="C16" s="77" t="s">
        <v>79</v>
      </c>
      <c r="D16" s="86">
        <v>0</v>
      </c>
      <c r="E16" s="97" t="s">
        <v>80</v>
      </c>
      <c r="F16" s="97" t="s">
        <v>608</v>
      </c>
      <c r="G16" s="97" t="s">
        <v>36</v>
      </c>
      <c r="H16" s="97" t="s">
        <v>37</v>
      </c>
      <c r="I16" s="97" t="s">
        <v>38</v>
      </c>
      <c r="J16" s="97" t="s">
        <v>598</v>
      </c>
      <c r="K16" s="97" t="s">
        <v>391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5">
      <c r="A17" s="77" t="s">
        <v>595</v>
      </c>
      <c r="B17" s="77" t="s">
        <v>305</v>
      </c>
      <c r="C17" s="77" t="s">
        <v>612</v>
      </c>
      <c r="D17" s="86">
        <v>355</v>
      </c>
      <c r="E17" s="97" t="s">
        <v>308</v>
      </c>
      <c r="F17" s="97" t="s">
        <v>608</v>
      </c>
      <c r="G17" s="97" t="s">
        <v>36</v>
      </c>
      <c r="H17" s="97" t="s">
        <v>37</v>
      </c>
      <c r="I17" s="97" t="s">
        <v>38</v>
      </c>
      <c r="J17" s="97" t="s">
        <v>598</v>
      </c>
      <c r="K17" s="97" t="s">
        <v>391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5">
      <c r="A18" s="77" t="s">
        <v>253</v>
      </c>
      <c r="B18" s="77" t="s">
        <v>259</v>
      </c>
      <c r="C18" s="77" t="s">
        <v>613</v>
      </c>
      <c r="D18" s="86">
        <v>372</v>
      </c>
      <c r="E18" s="97" t="s">
        <v>614</v>
      </c>
      <c r="F18" s="97" t="s">
        <v>608</v>
      </c>
      <c r="G18" s="97" t="s">
        <v>36</v>
      </c>
      <c r="H18" s="97" t="s">
        <v>37</v>
      </c>
      <c r="I18" s="97" t="s">
        <v>38</v>
      </c>
      <c r="J18" s="97" t="s">
        <v>598</v>
      </c>
      <c r="K18" s="97" t="s">
        <v>391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5">
      <c r="A19" s="77" t="s">
        <v>253</v>
      </c>
      <c r="B19" s="77" t="s">
        <v>259</v>
      </c>
      <c r="C19" s="77" t="s">
        <v>383</v>
      </c>
      <c r="D19" s="86">
        <v>64</v>
      </c>
      <c r="E19" s="97" t="s">
        <v>265</v>
      </c>
      <c r="F19" s="97" t="s">
        <v>608</v>
      </c>
      <c r="G19" s="97" t="s">
        <v>36</v>
      </c>
      <c r="H19" s="97" t="s">
        <v>37</v>
      </c>
      <c r="I19" s="97" t="s">
        <v>38</v>
      </c>
      <c r="J19" s="97" t="s">
        <v>598</v>
      </c>
      <c r="K19" s="97" t="s">
        <v>391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5">
      <c r="A20" s="77" t="s">
        <v>595</v>
      </c>
      <c r="B20" s="77" t="s">
        <v>305</v>
      </c>
      <c r="C20" s="77" t="s">
        <v>615</v>
      </c>
      <c r="D20" s="86">
        <v>366</v>
      </c>
      <c r="E20" s="97" t="s">
        <v>616</v>
      </c>
      <c r="F20" s="97" t="s">
        <v>608</v>
      </c>
      <c r="G20" s="97" t="s">
        <v>36</v>
      </c>
      <c r="H20" s="97" t="s">
        <v>37</v>
      </c>
      <c r="I20" s="97" t="s">
        <v>38</v>
      </c>
      <c r="J20" s="97" t="s">
        <v>598</v>
      </c>
      <c r="K20" s="97" t="s">
        <v>391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5">
      <c r="A21" s="77" t="s">
        <v>253</v>
      </c>
      <c r="B21" s="77" t="s">
        <v>212</v>
      </c>
      <c r="C21" s="77" t="s">
        <v>387</v>
      </c>
      <c r="D21" s="86">
        <v>347</v>
      </c>
      <c r="E21" s="97" t="s">
        <v>34</v>
      </c>
      <c r="F21" s="97" t="s">
        <v>605</v>
      </c>
      <c r="G21" s="97" t="s">
        <v>36</v>
      </c>
      <c r="H21" s="97" t="s">
        <v>37</v>
      </c>
      <c r="I21" s="97" t="s">
        <v>38</v>
      </c>
      <c r="J21" s="97" t="s">
        <v>598</v>
      </c>
      <c r="K21" s="97" t="s">
        <v>391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5">
      <c r="A22" s="77" t="s">
        <v>371</v>
      </c>
      <c r="B22" s="77" t="s">
        <v>371</v>
      </c>
      <c r="C22" s="77" t="s">
        <v>617</v>
      </c>
      <c r="D22" s="86">
        <v>57</v>
      </c>
      <c r="E22" s="97" t="s">
        <v>618</v>
      </c>
      <c r="F22" s="97" t="s">
        <v>608</v>
      </c>
      <c r="G22" s="97" t="s">
        <v>36</v>
      </c>
      <c r="H22" s="97" t="s">
        <v>37</v>
      </c>
      <c r="I22" s="97" t="s">
        <v>38</v>
      </c>
      <c r="J22" s="97" t="s">
        <v>598</v>
      </c>
      <c r="K22" s="97" t="s">
        <v>391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5">
      <c r="A23" s="77" t="s">
        <v>253</v>
      </c>
      <c r="B23" s="77" t="s">
        <v>288</v>
      </c>
      <c r="C23" s="77" t="s">
        <v>345</v>
      </c>
      <c r="D23" s="86">
        <v>74</v>
      </c>
      <c r="E23" s="97" t="s">
        <v>315</v>
      </c>
      <c r="F23" s="97" t="s">
        <v>619</v>
      </c>
      <c r="G23" s="97" t="s">
        <v>36</v>
      </c>
      <c r="H23" s="97" t="s">
        <v>37</v>
      </c>
      <c r="I23" s="97" t="s">
        <v>38</v>
      </c>
      <c r="J23" s="97" t="s">
        <v>598</v>
      </c>
      <c r="K23" s="97" t="s">
        <v>391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5">
      <c r="A24" s="77" t="s">
        <v>253</v>
      </c>
      <c r="B24" s="77" t="s">
        <v>234</v>
      </c>
      <c r="C24" s="77" t="s">
        <v>620</v>
      </c>
      <c r="D24" s="86">
        <v>365</v>
      </c>
      <c r="E24" s="97" t="s">
        <v>239</v>
      </c>
      <c r="F24" s="97" t="s">
        <v>621</v>
      </c>
      <c r="G24" s="97" t="s">
        <v>36</v>
      </c>
      <c r="H24" s="97" t="s">
        <v>37</v>
      </c>
      <c r="I24" s="97" t="s">
        <v>38</v>
      </c>
      <c r="J24" s="97" t="s">
        <v>598</v>
      </c>
      <c r="K24" s="97" t="s">
        <v>391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5">
      <c r="A25" s="77" t="s">
        <v>253</v>
      </c>
      <c r="B25" s="77" t="s">
        <v>234</v>
      </c>
      <c r="C25" s="77" t="s">
        <v>622</v>
      </c>
      <c r="D25" s="86">
        <v>314</v>
      </c>
      <c r="E25" s="97" t="s">
        <v>523</v>
      </c>
      <c r="F25" s="97" t="s">
        <v>621</v>
      </c>
      <c r="G25" s="97" t="s">
        <v>36</v>
      </c>
      <c r="H25" s="97" t="s">
        <v>37</v>
      </c>
      <c r="I25" s="97" t="s">
        <v>38</v>
      </c>
      <c r="J25" s="97" t="s">
        <v>598</v>
      </c>
      <c r="K25" s="97" t="s">
        <v>391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5">
      <c r="A26" s="77" t="s">
        <v>253</v>
      </c>
      <c r="B26" s="77" t="s">
        <v>288</v>
      </c>
      <c r="C26" s="77" t="s">
        <v>623</v>
      </c>
      <c r="D26" s="86">
        <v>301</v>
      </c>
      <c r="E26" s="97" t="s">
        <v>624</v>
      </c>
      <c r="F26" s="97" t="s">
        <v>608</v>
      </c>
      <c r="G26" s="97" t="s">
        <v>36</v>
      </c>
      <c r="H26" s="97" t="s">
        <v>37</v>
      </c>
      <c r="I26" s="97" t="s">
        <v>38</v>
      </c>
      <c r="J26" s="97" t="s">
        <v>598</v>
      </c>
      <c r="K26" s="97" t="s">
        <v>391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5">
      <c r="A27" s="77" t="s">
        <v>253</v>
      </c>
      <c r="B27" s="77" t="s">
        <v>253</v>
      </c>
      <c r="C27" s="77" t="s">
        <v>320</v>
      </c>
      <c r="D27" s="80">
        <v>346</v>
      </c>
      <c r="E27" s="97" t="s">
        <v>78</v>
      </c>
      <c r="F27" s="97" t="s">
        <v>621</v>
      </c>
      <c r="G27" s="97" t="s">
        <v>36</v>
      </c>
      <c r="H27" s="97" t="s">
        <v>37</v>
      </c>
      <c r="I27" s="97" t="s">
        <v>38</v>
      </c>
      <c r="J27" s="97" t="s">
        <v>62</v>
      </c>
      <c r="K27" s="97" t="s">
        <v>63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5">
      <c r="A28" s="77" t="s">
        <v>253</v>
      </c>
      <c r="B28" s="77" t="s">
        <v>322</v>
      </c>
      <c r="C28" s="77" t="s">
        <v>456</v>
      </c>
      <c r="D28" s="47">
        <v>300</v>
      </c>
      <c r="E28" s="97" t="s">
        <v>625</v>
      </c>
      <c r="F28" s="97" t="s">
        <v>626</v>
      </c>
      <c r="G28" s="97" t="s">
        <v>36</v>
      </c>
      <c r="H28" s="97" t="s">
        <v>37</v>
      </c>
      <c r="I28" s="97" t="s">
        <v>38</v>
      </c>
      <c r="J28" s="97" t="s">
        <v>598</v>
      </c>
      <c r="K28" s="97" t="s">
        <v>391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43009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27" t="s">
        <v>44</v>
      </c>
      <c r="B10" s="27" t="s">
        <v>133</v>
      </c>
      <c r="C10" s="34" t="s">
        <v>140</v>
      </c>
      <c r="D10" s="29" t="s">
        <v>141</v>
      </c>
      <c r="E10" s="34" t="s">
        <v>142</v>
      </c>
      <c r="F10" s="34" t="s">
        <v>177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>
      <c r="A11" s="27" t="s">
        <v>44</v>
      </c>
      <c r="B11" s="27" t="s">
        <v>133</v>
      </c>
      <c r="C11" s="27" t="s">
        <v>178</v>
      </c>
      <c r="D11" s="29" t="s">
        <v>179</v>
      </c>
      <c r="E11" s="34" t="s">
        <v>180</v>
      </c>
      <c r="F11" s="34" t="s">
        <v>177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>
      <c r="A12" s="27" t="s">
        <v>31</v>
      </c>
      <c r="B12" s="27" t="s">
        <v>31</v>
      </c>
      <c r="C12" s="27" t="s">
        <v>49</v>
      </c>
      <c r="D12" s="29" t="s">
        <v>107</v>
      </c>
      <c r="E12" s="20" t="s">
        <v>50</v>
      </c>
      <c r="F12" s="34" t="s">
        <v>181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>
      <c r="A13" s="27" t="s">
        <v>44</v>
      </c>
      <c r="B13" s="27" t="s">
        <v>44</v>
      </c>
      <c r="C13" s="27" t="s">
        <v>79</v>
      </c>
      <c r="D13" s="29" t="s">
        <v>107</v>
      </c>
      <c r="E13" s="20" t="s">
        <v>80</v>
      </c>
      <c r="F13" s="34" t="s">
        <v>181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>
      <c r="A14" s="27" t="s">
        <v>31</v>
      </c>
      <c r="B14" s="27" t="s">
        <v>32</v>
      </c>
      <c r="C14" s="27" t="s">
        <v>33</v>
      </c>
      <c r="D14" s="29" t="s">
        <v>74</v>
      </c>
      <c r="E14" s="14" t="s">
        <v>34</v>
      </c>
      <c r="F14" s="34" t="s">
        <v>161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>
      <c r="A15" s="27" t="s">
        <v>52</v>
      </c>
      <c r="B15" s="27" t="s">
        <v>52</v>
      </c>
      <c r="C15" s="27" t="s">
        <v>86</v>
      </c>
      <c r="D15" s="29" t="s">
        <v>107</v>
      </c>
      <c r="E15" s="20" t="s">
        <v>87</v>
      </c>
      <c r="F15" s="34" t="s">
        <v>182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183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>
      <c r="A16" s="27" t="s">
        <v>52</v>
      </c>
      <c r="B16" s="27" t="s">
        <v>53</v>
      </c>
      <c r="C16" s="27" t="s">
        <v>54</v>
      </c>
      <c r="D16" s="29" t="s">
        <v>88</v>
      </c>
      <c r="E16" s="20" t="s">
        <v>55</v>
      </c>
      <c r="F16" s="34" t="s">
        <v>182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183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>
      <c r="A17" s="27" t="s">
        <v>52</v>
      </c>
      <c r="B17" s="27" t="s">
        <v>129</v>
      </c>
      <c r="C17" s="27" t="s">
        <v>130</v>
      </c>
      <c r="D17" s="29" t="s">
        <v>131</v>
      </c>
      <c r="E17" s="34" t="s">
        <v>132</v>
      </c>
      <c r="F17" s="34" t="s">
        <v>184</v>
      </c>
      <c r="G17" s="30" t="s">
        <v>36</v>
      </c>
      <c r="H17" s="27" t="s">
        <v>37</v>
      </c>
      <c r="I17" s="27" t="s">
        <v>38</v>
      </c>
      <c r="J17" s="27" t="s">
        <v>109</v>
      </c>
      <c r="K17" s="31" t="s">
        <v>110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>
      <c r="A18" s="27" t="s">
        <v>31</v>
      </c>
      <c r="B18" s="27" t="s">
        <v>111</v>
      </c>
      <c r="C18" s="27" t="s">
        <v>185</v>
      </c>
      <c r="D18" s="29" t="s">
        <v>186</v>
      </c>
      <c r="E18" s="20" t="s">
        <v>187</v>
      </c>
      <c r="F18" s="34" t="s">
        <v>184</v>
      </c>
      <c r="G18" s="30" t="s">
        <v>36</v>
      </c>
      <c r="H18" s="27" t="s">
        <v>37</v>
      </c>
      <c r="I18" s="27" t="s">
        <v>38</v>
      </c>
      <c r="J18" s="27" t="s">
        <v>109</v>
      </c>
      <c r="K18" s="31" t="s">
        <v>110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>
      <c r="A19" s="27" t="s">
        <v>31</v>
      </c>
      <c r="B19" s="27" t="s">
        <v>188</v>
      </c>
      <c r="C19" s="27" t="s">
        <v>189</v>
      </c>
      <c r="D19" s="29" t="s">
        <v>190</v>
      </c>
      <c r="E19" s="14" t="s">
        <v>191</v>
      </c>
      <c r="F19" s="34" t="s">
        <v>184</v>
      </c>
      <c r="G19" s="30" t="s">
        <v>36</v>
      </c>
      <c r="H19" s="27" t="s">
        <v>37</v>
      </c>
      <c r="I19" s="27" t="s">
        <v>38</v>
      </c>
      <c r="J19" s="27" t="s">
        <v>109</v>
      </c>
      <c r="K19" s="31" t="s">
        <v>110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>
      <c r="A20" s="27" t="s">
        <v>31</v>
      </c>
      <c r="B20" s="27" t="s">
        <v>188</v>
      </c>
      <c r="C20" s="27" t="s">
        <v>192</v>
      </c>
      <c r="D20" s="29" t="s">
        <v>193</v>
      </c>
      <c r="E20" s="20" t="s">
        <v>114</v>
      </c>
      <c r="F20" s="34" t="s">
        <v>184</v>
      </c>
      <c r="G20" s="30" t="s">
        <v>36</v>
      </c>
      <c r="H20" s="27" t="s">
        <v>37</v>
      </c>
      <c r="I20" s="27" t="s">
        <v>38</v>
      </c>
      <c r="J20" s="27" t="s">
        <v>109</v>
      </c>
      <c r="K20" s="31" t="s">
        <v>110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>
      <c r="A21" s="27" t="s">
        <v>44</v>
      </c>
      <c r="B21" s="27" t="s">
        <v>194</v>
      </c>
      <c r="C21" s="27" t="s">
        <v>195</v>
      </c>
      <c r="D21" s="29" t="s">
        <v>196</v>
      </c>
      <c r="E21" s="20" t="s">
        <v>197</v>
      </c>
      <c r="F21" s="34" t="s">
        <v>198</v>
      </c>
      <c r="G21" s="30" t="s">
        <v>36</v>
      </c>
      <c r="H21" s="27" t="s">
        <v>37</v>
      </c>
      <c r="I21" s="27" t="s">
        <v>38</v>
      </c>
      <c r="J21" s="27" t="s">
        <v>199</v>
      </c>
      <c r="K21" s="31" t="s">
        <v>200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>
      <c r="A22" s="27" t="s">
        <v>44</v>
      </c>
      <c r="B22" s="27" t="s">
        <v>194</v>
      </c>
      <c r="C22" s="27" t="s">
        <v>201</v>
      </c>
      <c r="D22" s="29" t="s">
        <v>202</v>
      </c>
      <c r="E22" s="20" t="s">
        <v>203</v>
      </c>
      <c r="F22" s="34" t="s">
        <v>198</v>
      </c>
      <c r="G22" s="30" t="s">
        <v>36</v>
      </c>
      <c r="H22" s="27" t="s">
        <v>37</v>
      </c>
      <c r="I22" s="27" t="s">
        <v>38</v>
      </c>
      <c r="J22" s="27" t="s">
        <v>199</v>
      </c>
      <c r="K22" s="31" t="s">
        <v>200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>
      <c r="A23" s="27" t="s">
        <v>52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204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>
      <c r="A24" s="27" t="s">
        <v>52</v>
      </c>
      <c r="B24" s="27" t="s">
        <v>52</v>
      </c>
      <c r="C24" s="27" t="s">
        <v>86</v>
      </c>
      <c r="D24" s="29" t="s">
        <v>107</v>
      </c>
      <c r="E24" s="20" t="s">
        <v>87</v>
      </c>
      <c r="F24" s="34" t="s">
        <v>205</v>
      </c>
      <c r="G24" s="30" t="s">
        <v>36</v>
      </c>
      <c r="H24" s="27" t="s">
        <v>39</v>
      </c>
      <c r="I24" s="31" t="s">
        <v>40</v>
      </c>
      <c r="J24" s="27" t="s">
        <v>62</v>
      </c>
      <c r="K24" s="31" t="s">
        <v>63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>
      <c r="A25" s="27" t="s">
        <v>52</v>
      </c>
      <c r="B25" s="27" t="s">
        <v>52</v>
      </c>
      <c r="C25" s="27" t="s">
        <v>86</v>
      </c>
      <c r="D25" s="29" t="s">
        <v>107</v>
      </c>
      <c r="E25" s="20" t="s">
        <v>87</v>
      </c>
      <c r="F25" s="34" t="s">
        <v>205</v>
      </c>
      <c r="G25" s="30" t="s">
        <v>36</v>
      </c>
      <c r="H25" s="27" t="s">
        <v>62</v>
      </c>
      <c r="I25" s="31" t="s">
        <v>63</v>
      </c>
      <c r="J25" s="27" t="s">
        <v>37</v>
      </c>
      <c r="K25" s="27" t="s">
        <v>38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>
      <c r="A26" s="27" t="s">
        <v>52</v>
      </c>
      <c r="B26" s="27" t="s">
        <v>53</v>
      </c>
      <c r="C26" s="27" t="s">
        <v>54</v>
      </c>
      <c r="D26" s="29" t="s">
        <v>88</v>
      </c>
      <c r="E26" s="20" t="s">
        <v>55</v>
      </c>
      <c r="F26" s="34" t="s">
        <v>204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205</v>
      </c>
      <c r="G27" s="30" t="s">
        <v>36</v>
      </c>
      <c r="H27" s="27" t="s">
        <v>39</v>
      </c>
      <c r="I27" s="31" t="s">
        <v>40</v>
      </c>
      <c r="J27" s="27" t="s">
        <v>62</v>
      </c>
      <c r="K27" s="31" t="s">
        <v>63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>
      <c r="A28" s="27" t="s">
        <v>52</v>
      </c>
      <c r="B28" s="27" t="s">
        <v>53</v>
      </c>
      <c r="C28" s="27" t="s">
        <v>54</v>
      </c>
      <c r="D28" s="29" t="s">
        <v>88</v>
      </c>
      <c r="E28" s="20" t="s">
        <v>55</v>
      </c>
      <c r="F28" s="34" t="s">
        <v>205</v>
      </c>
      <c r="G28" s="30" t="s">
        <v>36</v>
      </c>
      <c r="H28" s="27" t="s">
        <v>62</v>
      </c>
      <c r="I28" s="31" t="s">
        <v>63</v>
      </c>
      <c r="J28" s="27" t="s">
        <v>37</v>
      </c>
      <c r="K28" s="27" t="s">
        <v>38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>
      <c r="A29" s="27" t="s">
        <v>31</v>
      </c>
      <c r="B29" s="27" t="s">
        <v>31</v>
      </c>
      <c r="C29" s="27" t="s">
        <v>49</v>
      </c>
      <c r="D29" s="29" t="s">
        <v>107</v>
      </c>
      <c r="E29" s="20" t="s">
        <v>50</v>
      </c>
      <c r="F29" s="34" t="s">
        <v>204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>
      <c r="A30" s="27" t="s">
        <v>44</v>
      </c>
      <c r="B30" s="27" t="s">
        <v>45</v>
      </c>
      <c r="C30" s="27" t="s">
        <v>206</v>
      </c>
      <c r="D30" s="29" t="s">
        <v>207</v>
      </c>
      <c r="E30" s="20" t="s">
        <v>208</v>
      </c>
      <c r="F30" s="34" t="s">
        <v>209</v>
      </c>
      <c r="G30" s="30" t="s">
        <v>36</v>
      </c>
      <c r="H30" s="27" t="s">
        <v>37</v>
      </c>
      <c r="I30" s="27" t="s">
        <v>38</v>
      </c>
      <c r="J30" s="27" t="s">
        <v>210</v>
      </c>
      <c r="K30" s="31" t="s">
        <v>211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77" t="s">
        <v>253</v>
      </c>
      <c r="B5" s="77" t="s">
        <v>259</v>
      </c>
      <c r="C5" s="77" t="s">
        <v>185</v>
      </c>
      <c r="D5" s="80" t="s">
        <v>186</v>
      </c>
      <c r="E5" s="97" t="s">
        <v>385</v>
      </c>
      <c r="F5" s="77" t="s">
        <v>627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628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5">
      <c r="A6" s="77" t="s">
        <v>253</v>
      </c>
      <c r="B6" s="77" t="s">
        <v>253</v>
      </c>
      <c r="C6" s="77" t="s">
        <v>320</v>
      </c>
      <c r="D6" s="80" t="s">
        <v>629</v>
      </c>
      <c r="E6" s="97" t="s">
        <v>78</v>
      </c>
      <c r="F6" s="77" t="s">
        <v>630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628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97" t="s">
        <v>599</v>
      </c>
      <c r="F7" s="77" t="s">
        <v>631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5">
      <c r="A8" s="77" t="s">
        <v>253</v>
      </c>
      <c r="B8" s="77" t="s">
        <v>212</v>
      </c>
      <c r="C8" s="77" t="s">
        <v>387</v>
      </c>
      <c r="D8" s="86">
        <v>347</v>
      </c>
      <c r="E8" s="97" t="s">
        <v>34</v>
      </c>
      <c r="F8" s="77" t="s">
        <v>632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5">
      <c r="A9" s="77" t="s">
        <v>253</v>
      </c>
      <c r="B9" s="77" t="s">
        <v>234</v>
      </c>
      <c r="C9" s="77" t="s">
        <v>576</v>
      </c>
      <c r="D9" s="86">
        <v>285</v>
      </c>
      <c r="E9" s="97" t="s">
        <v>187</v>
      </c>
      <c r="F9" s="77" t="s">
        <v>633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5">
      <c r="A10" s="77" t="s">
        <v>253</v>
      </c>
      <c r="B10" s="77" t="s">
        <v>234</v>
      </c>
      <c r="C10" s="77" t="s">
        <v>622</v>
      </c>
      <c r="D10" s="86">
        <v>314</v>
      </c>
      <c r="E10" s="97" t="s">
        <v>523</v>
      </c>
      <c r="F10" s="77" t="s">
        <v>633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5">
      <c r="A11" s="77" t="s">
        <v>253</v>
      </c>
      <c r="B11" s="77" t="s">
        <v>234</v>
      </c>
      <c r="C11" s="77" t="s">
        <v>620</v>
      </c>
      <c r="D11" s="47">
        <v>365</v>
      </c>
      <c r="E11" s="97" t="s">
        <v>239</v>
      </c>
      <c r="F11" s="77" t="s">
        <v>633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42.75">
      <c r="A5" s="84" t="s">
        <v>253</v>
      </c>
      <c r="B5" s="84" t="s">
        <v>259</v>
      </c>
      <c r="C5" s="84" t="s">
        <v>185</v>
      </c>
      <c r="D5" s="84">
        <v>119</v>
      </c>
      <c r="E5" s="84" t="s">
        <v>385</v>
      </c>
      <c r="F5" s="87" t="s">
        <v>634</v>
      </c>
      <c r="G5" s="84" t="s">
        <v>36</v>
      </c>
      <c r="H5" s="84" t="s">
        <v>37</v>
      </c>
      <c r="I5" s="84" t="s">
        <v>38</v>
      </c>
      <c r="J5" s="84" t="s">
        <v>598</v>
      </c>
      <c r="K5" s="84" t="s">
        <v>391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>
      <c r="A6" s="84" t="s">
        <v>253</v>
      </c>
      <c r="B6" s="84" t="s">
        <v>259</v>
      </c>
      <c r="C6" s="84" t="s">
        <v>613</v>
      </c>
      <c r="D6" s="84">
        <v>372</v>
      </c>
      <c r="E6" s="84" t="s">
        <v>614</v>
      </c>
      <c r="F6" s="84" t="s">
        <v>635</v>
      </c>
      <c r="G6" s="84" t="s">
        <v>36</v>
      </c>
      <c r="H6" s="84" t="s">
        <v>37</v>
      </c>
      <c r="I6" s="84" t="s">
        <v>38</v>
      </c>
      <c r="J6" s="84" t="s">
        <v>598</v>
      </c>
      <c r="K6" s="84" t="s">
        <v>391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>
      <c r="A7" s="84" t="s">
        <v>253</v>
      </c>
      <c r="B7" s="84" t="s">
        <v>288</v>
      </c>
      <c r="C7" s="84" t="s">
        <v>636</v>
      </c>
      <c r="D7" s="84">
        <v>78</v>
      </c>
      <c r="E7" s="84" t="s">
        <v>98</v>
      </c>
      <c r="F7" s="84" t="s">
        <v>637</v>
      </c>
      <c r="G7" s="84" t="s">
        <v>36</v>
      </c>
      <c r="H7" s="84" t="s">
        <v>37</v>
      </c>
      <c r="I7" s="84" t="s">
        <v>38</v>
      </c>
      <c r="J7" s="84" t="s">
        <v>598</v>
      </c>
      <c r="K7" s="84" t="s">
        <v>391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88"/>
    </row>
    <row r="8" spans="1:24">
      <c r="A8" s="84" t="s">
        <v>253</v>
      </c>
      <c r="B8" s="84" t="s">
        <v>288</v>
      </c>
      <c r="C8" s="84" t="s">
        <v>456</v>
      </c>
      <c r="D8" s="84">
        <v>314</v>
      </c>
      <c r="E8" s="84" t="s">
        <v>523</v>
      </c>
      <c r="F8" s="84" t="s">
        <v>638</v>
      </c>
      <c r="G8" s="84" t="s">
        <v>36</v>
      </c>
      <c r="H8" s="84" t="s">
        <v>37</v>
      </c>
      <c r="I8" s="84" t="s">
        <v>38</v>
      </c>
      <c r="J8" s="84" t="s">
        <v>598</v>
      </c>
      <c r="K8" s="84" t="s">
        <v>391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8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97" t="s">
        <v>34</v>
      </c>
      <c r="F5" s="77" t="s">
        <v>639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97" t="s">
        <v>34</v>
      </c>
      <c r="F5" s="77" t="s">
        <v>640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595</v>
      </c>
      <c r="B5" s="97" t="s">
        <v>595</v>
      </c>
      <c r="C5" s="97" t="s">
        <v>412</v>
      </c>
      <c r="D5" s="47">
        <v>0</v>
      </c>
      <c r="E5" s="97" t="s">
        <v>562</v>
      </c>
      <c r="F5" s="97" t="s">
        <v>357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5">
      <c r="A6" s="97" t="s">
        <v>595</v>
      </c>
      <c r="B6" s="97" t="s">
        <v>305</v>
      </c>
      <c r="C6" s="97" t="s">
        <v>612</v>
      </c>
      <c r="D6" s="47">
        <v>355</v>
      </c>
      <c r="E6" s="97" t="s">
        <v>308</v>
      </c>
      <c r="F6" s="97" t="s">
        <v>357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5">
      <c r="A7" s="97" t="s">
        <v>253</v>
      </c>
      <c r="B7" s="97" t="s">
        <v>288</v>
      </c>
      <c r="C7" s="97" t="s">
        <v>636</v>
      </c>
      <c r="D7" s="47">
        <v>78</v>
      </c>
      <c r="E7" s="97" t="s">
        <v>98</v>
      </c>
      <c r="F7" s="97" t="s">
        <v>641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253</v>
      </c>
      <c r="B5" s="97" t="s">
        <v>288</v>
      </c>
      <c r="C5" s="97" t="s">
        <v>642</v>
      </c>
      <c r="D5" s="47">
        <v>252</v>
      </c>
      <c r="E5" s="97" t="s">
        <v>98</v>
      </c>
      <c r="F5" s="97" t="s">
        <v>643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5">
      <c r="A6" s="97" t="s">
        <v>371</v>
      </c>
      <c r="B6" s="97" t="s">
        <v>371</v>
      </c>
      <c r="C6" s="97" t="s">
        <v>79</v>
      </c>
      <c r="D6" s="47">
        <v>0</v>
      </c>
      <c r="E6" s="97" t="s">
        <v>80</v>
      </c>
      <c r="F6" s="97" t="s">
        <v>644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261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5">
      <c r="A7" s="97" t="s">
        <v>371</v>
      </c>
      <c r="B7" s="97" t="s">
        <v>371</v>
      </c>
      <c r="C7" s="97" t="s">
        <v>617</v>
      </c>
      <c r="D7" s="47">
        <v>57</v>
      </c>
      <c r="E7" s="97" t="s">
        <v>618</v>
      </c>
      <c r="F7" s="97" t="s">
        <v>644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261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5">
      <c r="A8" s="97" t="s">
        <v>231</v>
      </c>
      <c r="B8" s="97" t="s">
        <v>366</v>
      </c>
      <c r="C8" s="97" t="s">
        <v>367</v>
      </c>
      <c r="D8" s="47">
        <v>23</v>
      </c>
      <c r="E8" s="97" t="s">
        <v>609</v>
      </c>
      <c r="F8" s="97" t="s">
        <v>644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261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5">
      <c r="A9" s="97" t="s">
        <v>231</v>
      </c>
      <c r="B9" s="97" t="s">
        <v>231</v>
      </c>
      <c r="C9" s="97" t="s">
        <v>412</v>
      </c>
      <c r="D9" s="47">
        <v>0</v>
      </c>
      <c r="E9" s="97" t="s">
        <v>562</v>
      </c>
      <c r="F9" s="97" t="s">
        <v>644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5">
      <c r="A10" s="97" t="s">
        <v>253</v>
      </c>
      <c r="B10" s="97" t="s">
        <v>259</v>
      </c>
      <c r="C10" s="97" t="s">
        <v>613</v>
      </c>
      <c r="D10" s="47">
        <v>372</v>
      </c>
      <c r="E10" s="97" t="s">
        <v>191</v>
      </c>
      <c r="F10" s="97" t="s">
        <v>644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261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5">
      <c r="A11" s="97" t="s">
        <v>231</v>
      </c>
      <c r="B11" s="97" t="s">
        <v>221</v>
      </c>
      <c r="C11" s="97" t="s">
        <v>54</v>
      </c>
      <c r="D11" s="47">
        <v>56</v>
      </c>
      <c r="E11" s="97" t="s">
        <v>610</v>
      </c>
      <c r="F11" s="97" t="s">
        <v>644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261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5">
      <c r="A12" s="97" t="s">
        <v>231</v>
      </c>
      <c r="B12" s="97" t="s">
        <v>229</v>
      </c>
      <c r="C12" s="97" t="s">
        <v>71</v>
      </c>
      <c r="D12" s="47">
        <v>303</v>
      </c>
      <c r="E12" s="97" t="s">
        <v>645</v>
      </c>
      <c r="F12" s="97" t="s">
        <v>644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5">
      <c r="A13" s="97" t="s">
        <v>231</v>
      </c>
      <c r="B13" s="97" t="s">
        <v>229</v>
      </c>
      <c r="C13" s="97" t="s">
        <v>586</v>
      </c>
      <c r="D13" s="47">
        <v>357</v>
      </c>
      <c r="E13" s="97" t="s">
        <v>248</v>
      </c>
      <c r="F13" s="97" t="s">
        <v>644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261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5">
      <c r="A14" s="97" t="s">
        <v>253</v>
      </c>
      <c r="B14" s="97" t="s">
        <v>212</v>
      </c>
      <c r="C14" s="97" t="s">
        <v>404</v>
      </c>
      <c r="D14" s="47">
        <v>345</v>
      </c>
      <c r="E14" s="97" t="s">
        <v>646</v>
      </c>
      <c r="F14" s="97" t="s">
        <v>644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261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5">
      <c r="A15" s="97" t="s">
        <v>231</v>
      </c>
      <c r="B15" s="97" t="s">
        <v>229</v>
      </c>
      <c r="C15" s="97" t="s">
        <v>647</v>
      </c>
      <c r="D15" s="47">
        <v>377</v>
      </c>
      <c r="E15" s="97" t="s">
        <v>648</v>
      </c>
      <c r="F15" s="97" t="s">
        <v>644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261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5">
      <c r="A16" s="97" t="s">
        <v>231</v>
      </c>
      <c r="B16" s="97" t="s">
        <v>544</v>
      </c>
      <c r="C16" s="97" t="s">
        <v>545</v>
      </c>
      <c r="D16" s="47">
        <v>353</v>
      </c>
      <c r="E16" s="97" t="s">
        <v>547</v>
      </c>
      <c r="F16" s="97" t="s">
        <v>644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261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5">
      <c r="A17" s="97" t="s">
        <v>253</v>
      </c>
      <c r="B17" s="97" t="s">
        <v>253</v>
      </c>
      <c r="C17" s="97" t="s">
        <v>320</v>
      </c>
      <c r="D17" s="47" t="s">
        <v>629</v>
      </c>
      <c r="E17" s="97" t="s">
        <v>78</v>
      </c>
      <c r="F17" s="97" t="s">
        <v>644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261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5">
      <c r="A18" s="97" t="s">
        <v>253</v>
      </c>
      <c r="B18" s="97" t="s">
        <v>212</v>
      </c>
      <c r="C18" s="97" t="s">
        <v>270</v>
      </c>
      <c r="D18" s="47" t="s">
        <v>168</v>
      </c>
      <c r="E18" s="97" t="s">
        <v>599</v>
      </c>
      <c r="F18" s="97" t="s">
        <v>644</v>
      </c>
      <c r="G18" s="97" t="s">
        <v>36</v>
      </c>
      <c r="H18" s="97" t="s">
        <v>37</v>
      </c>
      <c r="I18" s="97" t="s">
        <v>38</v>
      </c>
      <c r="J18" s="97" t="s">
        <v>37</v>
      </c>
      <c r="K18" s="97" t="s">
        <v>261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5">
      <c r="A19" s="97" t="s">
        <v>253</v>
      </c>
      <c r="B19" s="97" t="s">
        <v>212</v>
      </c>
      <c r="C19" s="97" t="s">
        <v>41</v>
      </c>
      <c r="D19" s="47">
        <v>129</v>
      </c>
      <c r="E19" s="97" t="s">
        <v>649</v>
      </c>
      <c r="F19" s="97" t="s">
        <v>644</v>
      </c>
      <c r="G19" s="97" t="s">
        <v>36</v>
      </c>
      <c r="H19" s="97" t="s">
        <v>37</v>
      </c>
      <c r="I19" s="97" t="s">
        <v>38</v>
      </c>
      <c r="J19" s="97" t="s">
        <v>37</v>
      </c>
      <c r="K19" s="97" t="s">
        <v>261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5">
      <c r="A20" s="97" t="s">
        <v>371</v>
      </c>
      <c r="B20" s="97" t="s">
        <v>396</v>
      </c>
      <c r="C20" s="97" t="s">
        <v>267</v>
      </c>
      <c r="D20" s="47">
        <v>296</v>
      </c>
      <c r="E20" s="97" t="s">
        <v>650</v>
      </c>
      <c r="F20" s="97" t="s">
        <v>644</v>
      </c>
      <c r="G20" s="97" t="s">
        <v>36</v>
      </c>
      <c r="H20" s="97" t="s">
        <v>37</v>
      </c>
      <c r="I20" s="97" t="s">
        <v>38</v>
      </c>
      <c r="J20" s="97" t="s">
        <v>37</v>
      </c>
      <c r="K20" s="97" t="s">
        <v>261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5">
      <c r="A21" s="97" t="s">
        <v>371</v>
      </c>
      <c r="B21" s="97" t="s">
        <v>240</v>
      </c>
      <c r="C21" s="97" t="s">
        <v>140</v>
      </c>
      <c r="D21" s="47">
        <v>230</v>
      </c>
      <c r="E21" s="97" t="s">
        <v>142</v>
      </c>
      <c r="F21" s="97" t="s">
        <v>644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261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5">
      <c r="A22" s="97" t="s">
        <v>253</v>
      </c>
      <c r="B22" s="97" t="s">
        <v>259</v>
      </c>
      <c r="C22" s="97" t="s">
        <v>185</v>
      </c>
      <c r="D22" s="47" t="s">
        <v>186</v>
      </c>
      <c r="E22" s="97" t="s">
        <v>385</v>
      </c>
      <c r="F22" s="97" t="s">
        <v>644</v>
      </c>
      <c r="G22" s="97" t="s">
        <v>36</v>
      </c>
      <c r="H22" s="97" t="s">
        <v>37</v>
      </c>
      <c r="I22" s="97" t="s">
        <v>38</v>
      </c>
      <c r="J22" s="97" t="s">
        <v>37</v>
      </c>
      <c r="K22" s="97" t="s">
        <v>261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5">
      <c r="A23" s="97" t="s">
        <v>253</v>
      </c>
      <c r="B23" s="97" t="s">
        <v>322</v>
      </c>
      <c r="C23" s="97" t="s">
        <v>327</v>
      </c>
      <c r="D23" s="47">
        <v>87</v>
      </c>
      <c r="E23" s="97" t="s">
        <v>651</v>
      </c>
      <c r="F23" s="97" t="s">
        <v>644</v>
      </c>
      <c r="G23" s="97" t="s">
        <v>36</v>
      </c>
      <c r="H23" s="97" t="s">
        <v>37</v>
      </c>
      <c r="I23" s="97" t="s">
        <v>38</v>
      </c>
      <c r="J23" s="97" t="s">
        <v>37</v>
      </c>
      <c r="K23" s="97" t="s">
        <v>261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5">
      <c r="A24" s="97" t="s">
        <v>371</v>
      </c>
      <c r="B24" s="97" t="s">
        <v>371</v>
      </c>
      <c r="C24" s="97" t="s">
        <v>137</v>
      </c>
      <c r="D24" s="47">
        <v>202</v>
      </c>
      <c r="E24" s="97" t="s">
        <v>78</v>
      </c>
      <c r="F24" s="97" t="s">
        <v>644</v>
      </c>
      <c r="G24" s="97" t="s">
        <v>36</v>
      </c>
      <c r="H24" s="97" t="s">
        <v>37</v>
      </c>
      <c r="I24" s="97" t="s">
        <v>38</v>
      </c>
      <c r="J24" s="97" t="s">
        <v>37</v>
      </c>
      <c r="K24" s="97" t="s">
        <v>261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5">
      <c r="A25" s="97" t="s">
        <v>253</v>
      </c>
      <c r="B25" s="97" t="s">
        <v>322</v>
      </c>
      <c r="C25" s="97" t="s">
        <v>323</v>
      </c>
      <c r="D25" s="47">
        <v>204</v>
      </c>
      <c r="E25" s="97" t="s">
        <v>652</v>
      </c>
      <c r="F25" s="97" t="s">
        <v>644</v>
      </c>
      <c r="G25" s="97" t="s">
        <v>36</v>
      </c>
      <c r="H25" s="97" t="s">
        <v>37</v>
      </c>
      <c r="I25" s="97" t="s">
        <v>38</v>
      </c>
      <c r="J25" s="97" t="s">
        <v>37</v>
      </c>
      <c r="K25" s="97" t="s">
        <v>261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5">
      <c r="A26" s="97" t="s">
        <v>253</v>
      </c>
      <c r="B26" s="97" t="s">
        <v>259</v>
      </c>
      <c r="C26" s="97" t="s">
        <v>433</v>
      </c>
      <c r="D26" s="47">
        <v>264</v>
      </c>
      <c r="E26" s="97" t="s">
        <v>611</v>
      </c>
      <c r="F26" s="97" t="s">
        <v>644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261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5">
      <c r="A27" s="97" t="s">
        <v>231</v>
      </c>
      <c r="B27" s="97" t="s">
        <v>229</v>
      </c>
      <c r="C27" s="97" t="s">
        <v>653</v>
      </c>
      <c r="D27" s="47">
        <v>343</v>
      </c>
      <c r="E27" s="97" t="s">
        <v>645</v>
      </c>
      <c r="F27" s="97" t="s">
        <v>644</v>
      </c>
      <c r="G27" s="97" t="s">
        <v>36</v>
      </c>
      <c r="H27" s="97" t="s">
        <v>37</v>
      </c>
      <c r="I27" s="97" t="s">
        <v>38</v>
      </c>
      <c r="J27" s="97" t="s">
        <v>37</v>
      </c>
      <c r="K27" s="97" t="s">
        <v>261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5">
      <c r="A28" s="97" t="s">
        <v>231</v>
      </c>
      <c r="B28" s="97" t="s">
        <v>305</v>
      </c>
      <c r="C28" s="97" t="s">
        <v>615</v>
      </c>
      <c r="D28" s="47">
        <v>366</v>
      </c>
      <c r="E28" s="97" t="s">
        <v>616</v>
      </c>
      <c r="F28" s="97" t="s">
        <v>644</v>
      </c>
      <c r="G28" s="97" t="s">
        <v>36</v>
      </c>
      <c r="H28" s="97" t="s">
        <v>37</v>
      </c>
      <c r="I28" s="97" t="s">
        <v>38</v>
      </c>
      <c r="J28" s="97" t="s">
        <v>37</v>
      </c>
      <c r="K28" s="97" t="s">
        <v>261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5">
      <c r="A29" s="97" t="s">
        <v>253</v>
      </c>
      <c r="B29" s="97" t="s">
        <v>234</v>
      </c>
      <c r="C29" s="97" t="s">
        <v>620</v>
      </c>
      <c r="D29" s="47">
        <v>365</v>
      </c>
      <c r="E29" s="97" t="s">
        <v>239</v>
      </c>
      <c r="F29" s="97" t="s">
        <v>644</v>
      </c>
      <c r="G29" s="97" t="s">
        <v>36</v>
      </c>
      <c r="H29" s="97" t="s">
        <v>37</v>
      </c>
      <c r="I29" s="97" t="s">
        <v>38</v>
      </c>
      <c r="J29" s="97" t="s">
        <v>37</v>
      </c>
      <c r="K29" s="97" t="s">
        <v>261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253</v>
      </c>
      <c r="B5" s="97" t="s">
        <v>253</v>
      </c>
      <c r="C5" s="97" t="s">
        <v>320</v>
      </c>
      <c r="D5" s="47" t="s">
        <v>629</v>
      </c>
      <c r="E5" s="97" t="s">
        <v>78</v>
      </c>
      <c r="F5" s="97" t="s">
        <v>654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69">
        <v>44692</v>
      </c>
      <c r="M5" s="69">
        <v>44692</v>
      </c>
      <c r="N5" s="89">
        <v>1254.69</v>
      </c>
      <c r="O5" s="89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30">
      <c r="A6" s="97" t="s">
        <v>595</v>
      </c>
      <c r="B6" s="97" t="s">
        <v>305</v>
      </c>
      <c r="C6" s="97" t="s">
        <v>612</v>
      </c>
      <c r="D6" s="47">
        <v>355</v>
      </c>
      <c r="E6" s="97" t="s">
        <v>308</v>
      </c>
      <c r="F6" s="98" t="s">
        <v>655</v>
      </c>
      <c r="G6" s="97" t="s">
        <v>36</v>
      </c>
      <c r="H6" s="97" t="s">
        <v>37</v>
      </c>
      <c r="I6" s="97" t="s">
        <v>38</v>
      </c>
      <c r="J6" s="97" t="s">
        <v>127</v>
      </c>
      <c r="K6" s="97" t="s">
        <v>63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5">
      <c r="A7" s="97" t="s">
        <v>253</v>
      </c>
      <c r="B7" s="97" t="s">
        <v>212</v>
      </c>
      <c r="C7" s="97" t="s">
        <v>270</v>
      </c>
      <c r="D7" s="47" t="s">
        <v>168</v>
      </c>
      <c r="E7" s="97" t="s">
        <v>599</v>
      </c>
      <c r="F7" s="97" t="s">
        <v>656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5">
      <c r="A8" s="97" t="s">
        <v>231</v>
      </c>
      <c r="B8" s="97" t="s">
        <v>221</v>
      </c>
      <c r="C8" s="97" t="s">
        <v>54</v>
      </c>
      <c r="D8" s="47">
        <v>56</v>
      </c>
      <c r="E8" s="97" t="s">
        <v>610</v>
      </c>
      <c r="F8" s="97" t="s">
        <v>657</v>
      </c>
      <c r="G8" s="97" t="s">
        <v>36</v>
      </c>
      <c r="H8" s="97" t="s">
        <v>37</v>
      </c>
      <c r="I8" s="97" t="s">
        <v>38</v>
      </c>
      <c r="J8" s="97" t="s">
        <v>127</v>
      </c>
      <c r="K8" s="97" t="s">
        <v>63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5">
      <c r="A9" s="97" t="s">
        <v>253</v>
      </c>
      <c r="B9" s="97" t="s">
        <v>322</v>
      </c>
      <c r="C9" s="97" t="s">
        <v>327</v>
      </c>
      <c r="D9" s="47">
        <v>87</v>
      </c>
      <c r="E9" s="97" t="s">
        <v>651</v>
      </c>
      <c r="F9" s="97" t="s">
        <v>654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30">
      <c r="A10" s="97" t="s">
        <v>231</v>
      </c>
      <c r="B10" s="97" t="s">
        <v>231</v>
      </c>
      <c r="C10" s="97" t="s">
        <v>412</v>
      </c>
      <c r="D10" s="47">
        <v>0</v>
      </c>
      <c r="E10" s="97" t="s">
        <v>562</v>
      </c>
      <c r="F10" s="98" t="s">
        <v>655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30">
      <c r="A11" s="97" t="s">
        <v>231</v>
      </c>
      <c r="B11" s="97" t="s">
        <v>658</v>
      </c>
      <c r="C11" s="97" t="s">
        <v>451</v>
      </c>
      <c r="D11" s="47">
        <v>0</v>
      </c>
      <c r="E11" s="97"/>
      <c r="F11" s="98" t="s">
        <v>655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253</v>
      </c>
      <c r="B5" s="97" t="s">
        <v>322</v>
      </c>
      <c r="C5" s="97" t="s">
        <v>327</v>
      </c>
      <c r="D5" s="47">
        <v>87</v>
      </c>
      <c r="E5" s="97" t="s">
        <v>651</v>
      </c>
      <c r="F5" s="97" t="s">
        <v>659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5">
      <c r="A6" s="97" t="s">
        <v>253</v>
      </c>
      <c r="B6" s="97" t="s">
        <v>253</v>
      </c>
      <c r="C6" s="97" t="s">
        <v>320</v>
      </c>
      <c r="D6" s="47" t="s">
        <v>629</v>
      </c>
      <c r="E6" s="97" t="s">
        <v>78</v>
      </c>
      <c r="F6" s="98" t="s">
        <v>660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231</v>
      </c>
      <c r="B5" s="97" t="s">
        <v>221</v>
      </c>
      <c r="C5" s="97" t="s">
        <v>277</v>
      </c>
      <c r="D5" s="77">
        <v>157</v>
      </c>
      <c r="E5" s="77" t="s">
        <v>663</v>
      </c>
      <c r="F5" s="77" t="s">
        <v>664</v>
      </c>
      <c r="G5" s="97" t="s">
        <v>36</v>
      </c>
      <c r="H5" s="97" t="s">
        <v>37</v>
      </c>
      <c r="I5" s="97" t="s">
        <v>38</v>
      </c>
      <c r="J5" s="97" t="s">
        <v>373</v>
      </c>
      <c r="K5" s="97" t="s">
        <v>374</v>
      </c>
      <c r="L5" s="90">
        <v>44770</v>
      </c>
      <c r="M5" s="90">
        <v>44771</v>
      </c>
      <c r="N5" s="77">
        <f>1417.14/2</f>
        <v>708.57</v>
      </c>
      <c r="O5" s="77">
        <f>1417.14/2</f>
        <v>708.57</v>
      </c>
      <c r="P5" s="70">
        <f>SUM(N5:O5)</f>
        <v>1417.14</v>
      </c>
      <c r="Q5" s="77">
        <v>4</v>
      </c>
      <c r="R5" s="91">
        <v>120</v>
      </c>
      <c r="S5" s="77">
        <v>0</v>
      </c>
      <c r="T5" s="91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595</v>
      </c>
      <c r="B5" s="97" t="s">
        <v>305</v>
      </c>
      <c r="C5" s="97" t="s">
        <v>612</v>
      </c>
      <c r="D5" s="47">
        <v>355</v>
      </c>
      <c r="E5" s="97" t="s">
        <v>308</v>
      </c>
      <c r="F5" s="77" t="s">
        <v>665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90">
        <v>44783</v>
      </c>
      <c r="M5" s="90">
        <v>44786</v>
      </c>
      <c r="N5" s="77">
        <f>938.66/2</f>
        <v>469.33</v>
      </c>
      <c r="O5" s="77">
        <f>938.66/2</f>
        <v>469.33</v>
      </c>
      <c r="P5" s="70">
        <f>SUM(N5:O5)</f>
        <v>938.66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7"/>
    </row>
    <row r="6" spans="1:24" s="92" customFormat="1" ht="15">
      <c r="A6" s="97" t="s">
        <v>595</v>
      </c>
      <c r="B6" s="97" t="s">
        <v>595</v>
      </c>
      <c r="C6" s="97" t="s">
        <v>412</v>
      </c>
      <c r="D6" s="47">
        <v>0</v>
      </c>
      <c r="E6" s="97" t="s">
        <v>562</v>
      </c>
      <c r="F6" s="77" t="s">
        <v>665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117</v>
      </c>
      <c r="L6" s="90">
        <v>44783</v>
      </c>
      <c r="M6" s="90">
        <v>44786</v>
      </c>
      <c r="N6" s="77">
        <f>938.66/2</f>
        <v>469.33</v>
      </c>
      <c r="O6" s="77">
        <f>938.66/2</f>
        <v>469.33</v>
      </c>
      <c r="P6" s="70">
        <f t="shared" ref="P6:P11" si="0">SUM(N6:O6)</f>
        <v>938.66</v>
      </c>
      <c r="Q6" s="77">
        <v>0</v>
      </c>
      <c r="R6" s="91">
        <v>0</v>
      </c>
      <c r="S6" s="77">
        <v>0</v>
      </c>
      <c r="T6" s="91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7"/>
    </row>
    <row r="7" spans="1:24" s="92" customFormat="1" ht="15">
      <c r="A7" s="97" t="s">
        <v>371</v>
      </c>
      <c r="B7" s="97" t="s">
        <v>240</v>
      </c>
      <c r="C7" s="97" t="s">
        <v>140</v>
      </c>
      <c r="D7" s="47">
        <v>230</v>
      </c>
      <c r="E7" s="97" t="s">
        <v>142</v>
      </c>
      <c r="F7" s="77" t="s">
        <v>666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44780</v>
      </c>
      <c r="M7" s="90">
        <v>44782</v>
      </c>
      <c r="N7" s="77">
        <f>1453.97/2</f>
        <v>726.98500000000001</v>
      </c>
      <c r="O7" s="77">
        <f>1453.97/2</f>
        <v>726.98500000000001</v>
      </c>
      <c r="P7" s="70">
        <f t="shared" si="0"/>
        <v>1453.97</v>
      </c>
      <c r="Q7" s="77">
        <v>7</v>
      </c>
      <c r="R7" s="91">
        <v>120</v>
      </c>
      <c r="S7" s="77">
        <v>0</v>
      </c>
      <c r="T7" s="91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7"/>
    </row>
    <row r="8" spans="1:24" s="92" customFormat="1" ht="28.5">
      <c r="A8" s="97" t="s">
        <v>253</v>
      </c>
      <c r="B8" s="97" t="s">
        <v>288</v>
      </c>
      <c r="C8" s="97" t="s">
        <v>345</v>
      </c>
      <c r="D8" s="47">
        <v>74</v>
      </c>
      <c r="E8" s="97" t="s">
        <v>535</v>
      </c>
      <c r="F8" s="93" t="s">
        <v>667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44778</v>
      </c>
      <c r="M8" s="90">
        <v>44796</v>
      </c>
      <c r="N8" s="77">
        <f>1468.46/2</f>
        <v>734.23</v>
      </c>
      <c r="O8" s="77">
        <f>1468.46/2</f>
        <v>734.23</v>
      </c>
      <c r="P8" s="70">
        <f t="shared" si="0"/>
        <v>1468.46</v>
      </c>
      <c r="Q8" s="77">
        <v>19</v>
      </c>
      <c r="R8" s="91">
        <v>120</v>
      </c>
      <c r="S8" s="77">
        <v>0</v>
      </c>
      <c r="T8" s="91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7"/>
    </row>
    <row r="9" spans="1:24" s="92" customFormat="1" ht="15">
      <c r="A9" s="97" t="s">
        <v>253</v>
      </c>
      <c r="B9" s="97" t="s">
        <v>253</v>
      </c>
      <c r="C9" s="97" t="s">
        <v>387</v>
      </c>
      <c r="D9" s="47">
        <v>0</v>
      </c>
      <c r="E9" s="97" t="s">
        <v>78</v>
      </c>
      <c r="F9" s="77" t="s">
        <v>665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44783</v>
      </c>
      <c r="M9" s="90">
        <v>44785</v>
      </c>
      <c r="N9" s="77">
        <f>1281.31/2</f>
        <v>640.65499999999997</v>
      </c>
      <c r="O9" s="77">
        <f>1281.31/2</f>
        <v>640.65499999999997</v>
      </c>
      <c r="P9" s="70">
        <f t="shared" si="0"/>
        <v>1281.31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7"/>
    </row>
    <row r="10" spans="1:24" s="92" customFormat="1" ht="15">
      <c r="A10" s="97" t="s">
        <v>595</v>
      </c>
      <c r="B10" s="97" t="s">
        <v>221</v>
      </c>
      <c r="C10" s="97" t="s">
        <v>54</v>
      </c>
      <c r="D10" s="47">
        <v>56</v>
      </c>
      <c r="E10" s="97" t="s">
        <v>610</v>
      </c>
      <c r="F10" s="77" t="s">
        <v>665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44783</v>
      </c>
      <c r="M10" s="90">
        <v>44785</v>
      </c>
      <c r="N10" s="77">
        <f>1494.92/2</f>
        <v>747.46</v>
      </c>
      <c r="O10" s="77">
        <f>1494.92/2</f>
        <v>747.46</v>
      </c>
      <c r="P10" s="70">
        <f t="shared" si="0"/>
        <v>1494.92</v>
      </c>
      <c r="Q10" s="77">
        <v>3</v>
      </c>
      <c r="R10" s="91">
        <v>120</v>
      </c>
      <c r="S10" s="77"/>
      <c r="T10" s="91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7"/>
    </row>
    <row r="11" spans="1:24" s="92" customFormat="1" ht="15">
      <c r="A11" s="97" t="s">
        <v>595</v>
      </c>
      <c r="B11" s="97" t="s">
        <v>462</v>
      </c>
      <c r="C11" s="97" t="s">
        <v>401</v>
      </c>
      <c r="D11" s="47">
        <v>349</v>
      </c>
      <c r="E11" s="97" t="s">
        <v>403</v>
      </c>
      <c r="F11" s="77" t="s">
        <v>668</v>
      </c>
      <c r="G11" s="97" t="s">
        <v>36</v>
      </c>
      <c r="H11" s="97" t="s">
        <v>37</v>
      </c>
      <c r="I11" s="97" t="s">
        <v>38</v>
      </c>
      <c r="J11" s="97" t="s">
        <v>199</v>
      </c>
      <c r="K11" s="97" t="s">
        <v>669</v>
      </c>
      <c r="L11" s="90">
        <v>44794</v>
      </c>
      <c r="M11" s="90">
        <v>44798</v>
      </c>
      <c r="N11" s="77">
        <f>4132.8/2</f>
        <v>2066.4</v>
      </c>
      <c r="O11" s="77">
        <f>4132.8/2</f>
        <v>2066.4</v>
      </c>
      <c r="P11" s="70">
        <f t="shared" si="0"/>
        <v>4132.8</v>
      </c>
      <c r="Q11" s="77">
        <v>5</v>
      </c>
      <c r="R11" s="91">
        <v>120</v>
      </c>
      <c r="S11" s="77">
        <v>0</v>
      </c>
      <c r="T11" s="91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7"/>
    </row>
    <row r="12" spans="1:24" s="92" customFormat="1" ht="15">
      <c r="A12" s="97" t="s">
        <v>371</v>
      </c>
      <c r="B12" s="97" t="s">
        <v>371</v>
      </c>
      <c r="C12" s="97" t="s">
        <v>79</v>
      </c>
      <c r="D12" s="47">
        <v>0</v>
      </c>
      <c r="E12" s="97" t="s">
        <v>80</v>
      </c>
      <c r="F12" s="77" t="s">
        <v>666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90">
        <v>44781</v>
      </c>
      <c r="M12" s="90">
        <v>44782</v>
      </c>
      <c r="N12" s="77">
        <f>(1670.82+834.23)/2</f>
        <v>1252.5250000000001</v>
      </c>
      <c r="O12" s="77">
        <f>(1670.82+834.23)/2</f>
        <v>1252.5250000000001</v>
      </c>
      <c r="P12" s="70">
        <f>SUM(N12:O12)</f>
        <v>2505.0500000000002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43009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38.25">
      <c r="A10" s="27" t="s">
        <v>31</v>
      </c>
      <c r="B10" s="34" t="s">
        <v>212</v>
      </c>
      <c r="C10" s="34" t="s">
        <v>41</v>
      </c>
      <c r="D10" s="29" t="s">
        <v>171</v>
      </c>
      <c r="E10" s="20" t="s">
        <v>42</v>
      </c>
      <c r="F10" s="34" t="s">
        <v>213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>
      <c r="A11" s="27" t="s">
        <v>31</v>
      </c>
      <c r="B11" s="34" t="s">
        <v>212</v>
      </c>
      <c r="C11" s="27" t="s">
        <v>167</v>
      </c>
      <c r="D11" s="29" t="s">
        <v>168</v>
      </c>
      <c r="E11" s="20" t="s">
        <v>169</v>
      </c>
      <c r="F11" s="34" t="s">
        <v>214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>
      <c r="A12" s="27" t="s">
        <v>52</v>
      </c>
      <c r="B12" s="34" t="s">
        <v>215</v>
      </c>
      <c r="C12" s="27" t="s">
        <v>216</v>
      </c>
      <c r="D12" s="29" t="s">
        <v>217</v>
      </c>
      <c r="E12" s="20" t="s">
        <v>218</v>
      </c>
      <c r="F12" s="34" t="s">
        <v>219</v>
      </c>
      <c r="G12" s="30" t="s">
        <v>36</v>
      </c>
      <c r="H12" s="27" t="s">
        <v>37</v>
      </c>
      <c r="I12" s="27" t="s">
        <v>38</v>
      </c>
      <c r="J12" s="27" t="s">
        <v>62</v>
      </c>
      <c r="K12" s="31" t="s">
        <v>63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220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>
      <c r="A14" s="27" t="s">
        <v>52</v>
      </c>
      <c r="B14" s="34" t="s">
        <v>221</v>
      </c>
      <c r="C14" s="27" t="s">
        <v>54</v>
      </c>
      <c r="D14" s="26" t="s">
        <v>88</v>
      </c>
      <c r="E14" s="14" t="s">
        <v>55</v>
      </c>
      <c r="F14" s="34" t="s">
        <v>220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371</v>
      </c>
      <c r="B5" s="97" t="s">
        <v>396</v>
      </c>
      <c r="C5" s="97" t="s">
        <v>267</v>
      </c>
      <c r="D5" s="47">
        <v>284</v>
      </c>
      <c r="E5" s="97" t="s">
        <v>670</v>
      </c>
      <c r="F5" s="77" t="s">
        <v>671</v>
      </c>
      <c r="G5" s="97" t="s">
        <v>36</v>
      </c>
      <c r="H5" s="97" t="s">
        <v>37</v>
      </c>
      <c r="I5" s="97" t="s">
        <v>38</v>
      </c>
      <c r="J5" s="97" t="s">
        <v>661</v>
      </c>
      <c r="K5" s="97" t="s">
        <v>662</v>
      </c>
      <c r="L5" s="90">
        <v>44823</v>
      </c>
      <c r="M5" s="90">
        <v>44827</v>
      </c>
      <c r="N5" s="91">
        <f>1212.43/2</f>
        <v>606.21500000000003</v>
      </c>
      <c r="O5" s="91">
        <f>1212.43/2</f>
        <v>606.21500000000003</v>
      </c>
      <c r="P5" s="70">
        <f>SUM(N5:O5)</f>
        <v>1212.43</v>
      </c>
      <c r="Q5" s="77">
        <v>5</v>
      </c>
      <c r="R5" s="91">
        <v>120</v>
      </c>
      <c r="S5" s="77">
        <v>0</v>
      </c>
      <c r="T5" s="91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7"/>
    </row>
    <row r="6" spans="1:24" s="92" customFormat="1" ht="15">
      <c r="A6" s="97" t="s">
        <v>253</v>
      </c>
      <c r="B6" s="97" t="s">
        <v>288</v>
      </c>
      <c r="C6" s="97" t="s">
        <v>173</v>
      </c>
      <c r="D6" s="47">
        <v>127</v>
      </c>
      <c r="E6" s="97" t="s">
        <v>672</v>
      </c>
      <c r="F6" s="77" t="s">
        <v>671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90">
        <v>44823</v>
      </c>
      <c r="M6" s="90">
        <v>44827</v>
      </c>
      <c r="N6" s="91">
        <f>1212.43/2</f>
        <v>606.21500000000003</v>
      </c>
      <c r="O6" s="91">
        <f>1212.43/2</f>
        <v>606.21500000000003</v>
      </c>
      <c r="P6" s="70">
        <f t="shared" ref="P6:P8" si="0">SUM(N6:O6)</f>
        <v>1212.43</v>
      </c>
      <c r="Q6" s="77">
        <v>5</v>
      </c>
      <c r="R6" s="91">
        <v>120</v>
      </c>
      <c r="S6" s="77">
        <v>0</v>
      </c>
      <c r="T6" s="91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7"/>
    </row>
    <row r="7" spans="1:24" s="92" customFormat="1" ht="15">
      <c r="A7" s="97" t="s">
        <v>253</v>
      </c>
      <c r="B7" s="97" t="s">
        <v>259</v>
      </c>
      <c r="C7" s="97" t="s">
        <v>613</v>
      </c>
      <c r="D7" s="47">
        <v>372</v>
      </c>
      <c r="E7" s="97" t="s">
        <v>673</v>
      </c>
      <c r="F7" s="77" t="s">
        <v>674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44825</v>
      </c>
      <c r="M7" s="90">
        <v>44826</v>
      </c>
      <c r="N7" s="91">
        <v>1453.97</v>
      </c>
      <c r="O7" s="91">
        <v>2364.62</v>
      </c>
      <c r="P7" s="70">
        <f t="shared" si="0"/>
        <v>3818.59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7"/>
    </row>
    <row r="8" spans="1:24" s="92" customFormat="1" ht="15">
      <c r="A8" s="97" t="s">
        <v>253</v>
      </c>
      <c r="B8" s="97" t="s">
        <v>253</v>
      </c>
      <c r="C8" s="97" t="s">
        <v>675</v>
      </c>
      <c r="D8" s="47">
        <v>383</v>
      </c>
      <c r="E8" s="97" t="s">
        <v>676</v>
      </c>
      <c r="F8" s="93" t="s">
        <v>677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44832</v>
      </c>
      <c r="M8" s="90">
        <v>44833</v>
      </c>
      <c r="N8" s="91">
        <f>2113.03/2</f>
        <v>1056.5150000000001</v>
      </c>
      <c r="O8" s="91">
        <f>2113.03/2</f>
        <v>1056.5150000000001</v>
      </c>
      <c r="P8" s="70">
        <f t="shared" si="0"/>
        <v>2113.0300000000002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253</v>
      </c>
      <c r="B5" s="97" t="s">
        <v>253</v>
      </c>
      <c r="C5" s="97" t="s">
        <v>675</v>
      </c>
      <c r="D5" s="47">
        <v>383</v>
      </c>
      <c r="E5" s="97" t="s">
        <v>676</v>
      </c>
      <c r="F5" s="77" t="s">
        <v>678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90">
        <v>44853</v>
      </c>
      <c r="M5" s="90">
        <v>44854</v>
      </c>
      <c r="N5" s="91">
        <f>1104.62/2</f>
        <v>552.30999999999995</v>
      </c>
      <c r="O5" s="91">
        <f>1104.62/2</f>
        <v>552.30999999999995</v>
      </c>
      <c r="P5" s="70">
        <f>SUM(N5:O5)</f>
        <v>1104.6199999999999</v>
      </c>
      <c r="Q5" s="77">
        <v>2</v>
      </c>
      <c r="R5" s="91">
        <v>120</v>
      </c>
      <c r="S5" s="77">
        <v>0</v>
      </c>
      <c r="T5" s="91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7"/>
    </row>
    <row r="6" spans="1:24" s="92" customFormat="1" ht="15">
      <c r="A6" s="97" t="s">
        <v>253</v>
      </c>
      <c r="B6" s="97" t="s">
        <v>322</v>
      </c>
      <c r="C6" s="97" t="s">
        <v>327</v>
      </c>
      <c r="D6" s="47">
        <v>87</v>
      </c>
      <c r="E6" s="97" t="s">
        <v>651</v>
      </c>
      <c r="F6" s="77" t="s">
        <v>678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90">
        <v>44853</v>
      </c>
      <c r="M6" s="90">
        <v>44854</v>
      </c>
      <c r="N6" s="91">
        <f>1104.62/2</f>
        <v>552.30999999999995</v>
      </c>
      <c r="O6" s="91">
        <f t="shared" ref="O6:O7" si="0">1104.62/2</f>
        <v>552.30999999999995</v>
      </c>
      <c r="P6" s="70">
        <f t="shared" ref="P6:P7" si="1">SUM(N6:O6)</f>
        <v>1104.6199999999999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7"/>
    </row>
    <row r="7" spans="1:24" s="92" customFormat="1" ht="15">
      <c r="A7" s="97" t="s">
        <v>253</v>
      </c>
      <c r="B7" s="97" t="s">
        <v>288</v>
      </c>
      <c r="C7" s="97" t="s">
        <v>237</v>
      </c>
      <c r="D7" s="47">
        <v>82</v>
      </c>
      <c r="E7" s="97" t="s">
        <v>679</v>
      </c>
      <c r="F7" s="77" t="s">
        <v>678</v>
      </c>
      <c r="G7" s="97" t="s">
        <v>36</v>
      </c>
      <c r="H7" s="97" t="s">
        <v>37</v>
      </c>
      <c r="I7" s="97" t="s">
        <v>38</v>
      </c>
      <c r="J7" s="97" t="s">
        <v>109</v>
      </c>
      <c r="K7" s="97" t="s">
        <v>110</v>
      </c>
      <c r="L7" s="90">
        <v>44853</v>
      </c>
      <c r="M7" s="90">
        <v>44854</v>
      </c>
      <c r="N7" s="91">
        <f>1104.62/2</f>
        <v>552.30999999999995</v>
      </c>
      <c r="O7" s="91">
        <f t="shared" si="0"/>
        <v>552.30999999999995</v>
      </c>
      <c r="P7" s="70">
        <f t="shared" si="1"/>
        <v>1104.6199999999999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231</v>
      </c>
      <c r="B5" s="97" t="s">
        <v>305</v>
      </c>
      <c r="C5" s="97" t="s">
        <v>612</v>
      </c>
      <c r="D5" s="47">
        <v>355</v>
      </c>
      <c r="E5" s="97" t="s">
        <v>308</v>
      </c>
      <c r="F5" s="97" t="s">
        <v>680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44881</v>
      </c>
      <c r="M5" s="90">
        <v>44884</v>
      </c>
      <c r="N5" s="91">
        <v>2113.0300000000002</v>
      </c>
      <c r="O5" s="91">
        <v>2364.62</v>
      </c>
      <c r="P5" s="91">
        <f>SUM(N5:O5)</f>
        <v>4477.6499999999996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7"/>
    </row>
    <row r="6" spans="1:24" s="92" customFormat="1" ht="15">
      <c r="A6" s="97" t="s">
        <v>231</v>
      </c>
      <c r="B6" s="97" t="s">
        <v>221</v>
      </c>
      <c r="C6" s="97" t="s">
        <v>54</v>
      </c>
      <c r="D6" s="47">
        <v>56</v>
      </c>
      <c r="E6" s="97" t="s">
        <v>610</v>
      </c>
      <c r="F6" s="97" t="s">
        <v>681</v>
      </c>
      <c r="G6" s="97" t="s">
        <v>36</v>
      </c>
      <c r="H6" s="97" t="s">
        <v>37</v>
      </c>
      <c r="I6" s="97" t="s">
        <v>38</v>
      </c>
      <c r="J6" s="97" t="s">
        <v>424</v>
      </c>
      <c r="K6" s="97" t="s">
        <v>427</v>
      </c>
      <c r="L6" s="90">
        <v>44872</v>
      </c>
      <c r="M6" s="90">
        <v>44875</v>
      </c>
      <c r="N6" s="91">
        <f>1908.15/2</f>
        <v>954.07500000000005</v>
      </c>
      <c r="O6" s="91">
        <f>1908.15/2</f>
        <v>954.07500000000005</v>
      </c>
      <c r="P6" s="91">
        <f t="shared" ref="P6:P11" si="0">SUM(N6:O6)</f>
        <v>1908.15</v>
      </c>
      <c r="Q6" s="77">
        <v>10</v>
      </c>
      <c r="R6" s="91">
        <v>120</v>
      </c>
      <c r="S6" s="77">
        <v>0</v>
      </c>
      <c r="T6" s="91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7"/>
    </row>
    <row r="7" spans="1:24" s="92" customFormat="1" ht="15">
      <c r="A7" s="97" t="s">
        <v>231</v>
      </c>
      <c r="B7" s="97" t="s">
        <v>231</v>
      </c>
      <c r="C7" s="97" t="s">
        <v>412</v>
      </c>
      <c r="D7" s="47">
        <v>0</v>
      </c>
      <c r="E7" s="97" t="s">
        <v>562</v>
      </c>
      <c r="F7" s="97" t="s">
        <v>680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44881</v>
      </c>
      <c r="M7" s="90">
        <v>44884</v>
      </c>
      <c r="N7" s="91">
        <v>2113.0300000000002</v>
      </c>
      <c r="O7" s="91">
        <v>2364.62</v>
      </c>
      <c r="P7" s="91">
        <f t="shared" si="0"/>
        <v>4477.6499999999996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7"/>
    </row>
    <row r="8" spans="1:24" s="92" customFormat="1" ht="15">
      <c r="A8" s="97" t="s">
        <v>253</v>
      </c>
      <c r="B8" s="97" t="s">
        <v>212</v>
      </c>
      <c r="C8" s="97" t="s">
        <v>404</v>
      </c>
      <c r="D8" s="47">
        <v>345</v>
      </c>
      <c r="E8" s="97" t="s">
        <v>646</v>
      </c>
      <c r="F8" s="97" t="s">
        <v>682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44873</v>
      </c>
      <c r="M8" s="90">
        <v>44873</v>
      </c>
      <c r="N8" s="91">
        <f>2930.51/2</f>
        <v>1465.2550000000001</v>
      </c>
      <c r="O8" s="91">
        <f>2930.51/2</f>
        <v>1465.2550000000001</v>
      </c>
      <c r="P8" s="91">
        <f t="shared" si="0"/>
        <v>2930.51</v>
      </c>
      <c r="Q8" s="77">
        <v>1</v>
      </c>
      <c r="R8" s="91">
        <v>120</v>
      </c>
      <c r="S8" s="77">
        <v>0</v>
      </c>
      <c r="T8" s="91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7"/>
    </row>
    <row r="9" spans="1:24" s="92" customFormat="1" ht="15">
      <c r="A9" s="97" t="s">
        <v>371</v>
      </c>
      <c r="B9" s="97" t="s">
        <v>240</v>
      </c>
      <c r="C9" s="97" t="s">
        <v>140</v>
      </c>
      <c r="D9" s="47">
        <v>230</v>
      </c>
      <c r="E9" s="97" t="s">
        <v>142</v>
      </c>
      <c r="F9" s="97" t="s">
        <v>682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44873</v>
      </c>
      <c r="M9" s="90">
        <v>44873</v>
      </c>
      <c r="N9" s="91">
        <f>3433/2</f>
        <v>1716.5</v>
      </c>
      <c r="O9" s="91">
        <f>3433/2</f>
        <v>1716.5</v>
      </c>
      <c r="P9" s="91">
        <f t="shared" si="0"/>
        <v>3433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7"/>
    </row>
    <row r="10" spans="1:24" s="92" customFormat="1" ht="15">
      <c r="A10" s="97" t="s">
        <v>253</v>
      </c>
      <c r="B10" s="97" t="s">
        <v>212</v>
      </c>
      <c r="C10" s="97" t="s">
        <v>620</v>
      </c>
      <c r="D10" s="47">
        <v>365</v>
      </c>
      <c r="E10" s="97" t="s">
        <v>34</v>
      </c>
      <c r="F10" s="97" t="s">
        <v>683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44881</v>
      </c>
      <c r="M10" s="90">
        <v>44882</v>
      </c>
      <c r="N10" s="91">
        <f>2265.36/2</f>
        <v>1132.68</v>
      </c>
      <c r="O10" s="91">
        <f>2265.36/2</f>
        <v>1132.68</v>
      </c>
      <c r="P10" s="91">
        <f t="shared" si="0"/>
        <v>2265.36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7"/>
    </row>
    <row r="11" spans="1:24" s="92" customFormat="1" ht="15">
      <c r="A11" s="97" t="s">
        <v>253</v>
      </c>
      <c r="B11" s="97" t="s">
        <v>212</v>
      </c>
      <c r="C11" s="97" t="s">
        <v>270</v>
      </c>
      <c r="D11" s="47" t="s">
        <v>168</v>
      </c>
      <c r="E11" s="97" t="s">
        <v>599</v>
      </c>
      <c r="F11" s="97" t="s">
        <v>683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90">
        <v>44881</v>
      </c>
      <c r="M11" s="90">
        <v>44882</v>
      </c>
      <c r="N11" s="91">
        <f>2265.36/2</f>
        <v>1132.68</v>
      </c>
      <c r="O11" s="91">
        <f>2265.36/2</f>
        <v>1132.68</v>
      </c>
      <c r="P11" s="91">
        <f t="shared" si="0"/>
        <v>2265.36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231</v>
      </c>
      <c r="B5" s="97" t="s">
        <v>229</v>
      </c>
      <c r="C5" s="97" t="s">
        <v>586</v>
      </c>
      <c r="D5" s="47">
        <v>357</v>
      </c>
      <c r="E5" s="97" t="s">
        <v>248</v>
      </c>
      <c r="F5" s="97" t="s">
        <v>684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44908</v>
      </c>
      <c r="M5" s="90">
        <v>44910</v>
      </c>
      <c r="N5" s="91">
        <f>1670.62/2</f>
        <v>835.31</v>
      </c>
      <c r="O5" s="91">
        <f>1670.62/2</f>
        <v>835.31</v>
      </c>
      <c r="P5" s="91">
        <f>SUM(N5:O5)</f>
        <v>1670.62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7"/>
    </row>
    <row r="6" spans="1:24" s="92" customFormat="1" ht="15">
      <c r="A6" s="97" t="s">
        <v>253</v>
      </c>
      <c r="B6" s="97" t="s">
        <v>234</v>
      </c>
      <c r="C6" s="97" t="s">
        <v>456</v>
      </c>
      <c r="D6" s="47">
        <v>300</v>
      </c>
      <c r="E6" s="97" t="s">
        <v>685</v>
      </c>
      <c r="F6" s="97" t="s">
        <v>686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44899</v>
      </c>
      <c r="M6" s="90">
        <v>44901</v>
      </c>
      <c r="N6" s="91">
        <f>3264.36/2</f>
        <v>1632.18</v>
      </c>
      <c r="O6" s="91">
        <f>3264.36/2</f>
        <v>1632.18</v>
      </c>
      <c r="P6" s="91">
        <f t="shared" ref="P6:P7" si="0">SUM(N6:O6)</f>
        <v>3264.36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/>
      <c r="E7" s="97" t="s">
        <v>50</v>
      </c>
      <c r="F7" s="97" t="s">
        <v>687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90">
        <v>44894</v>
      </c>
      <c r="M7" s="90">
        <v>44898</v>
      </c>
      <c r="N7" s="91">
        <f>1879.42/2</f>
        <v>939.71</v>
      </c>
      <c r="O7" s="91">
        <f>1879.42/2</f>
        <v>939.71</v>
      </c>
      <c r="P7" s="91">
        <f t="shared" si="0"/>
        <v>1879.42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/>
      <c r="B5" s="97"/>
      <c r="C5" s="97"/>
      <c r="D5" s="47"/>
      <c r="E5" s="97"/>
      <c r="F5" s="97"/>
      <c r="G5" s="97"/>
      <c r="H5" s="97"/>
      <c r="I5" s="97"/>
      <c r="J5" s="97"/>
      <c r="K5" s="97"/>
      <c r="L5" s="90"/>
      <c r="M5" s="90"/>
      <c r="N5" s="91"/>
      <c r="O5" s="91"/>
      <c r="P5" s="91">
        <f>SUM(N5:O5)</f>
        <v>0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0</v>
      </c>
      <c r="W5" s="70">
        <f>V5</f>
        <v>0</v>
      </c>
      <c r="X5" s="77"/>
    </row>
    <row r="6" spans="1:24" s="92" customFormat="1" ht="15">
      <c r="A6" s="97"/>
      <c r="B6" s="97"/>
      <c r="C6" s="97"/>
      <c r="D6" s="47"/>
      <c r="E6" s="97"/>
      <c r="F6" s="97"/>
      <c r="G6" s="97"/>
      <c r="H6" s="97"/>
      <c r="I6" s="97"/>
      <c r="J6" s="97"/>
      <c r="K6" s="97"/>
      <c r="L6" s="90"/>
      <c r="M6" s="90"/>
      <c r="N6" s="91"/>
      <c r="O6" s="91"/>
      <c r="P6" s="91">
        <f t="shared" ref="P6:P7" si="0">SUM(N6:O6)</f>
        <v>0</v>
      </c>
      <c r="Q6" s="77">
        <v>0</v>
      </c>
      <c r="R6" s="91">
        <v>0</v>
      </c>
      <c r="S6" s="77">
        <v>0</v>
      </c>
      <c r="T6" s="91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7"/>
    </row>
    <row r="7" spans="1:24" s="92" customFormat="1" ht="15">
      <c r="A7" s="97"/>
      <c r="B7" s="97"/>
      <c r="C7" s="97"/>
      <c r="D7" s="47"/>
      <c r="E7" s="97"/>
      <c r="F7" s="97"/>
      <c r="G7" s="97"/>
      <c r="H7" s="97"/>
      <c r="I7" s="97"/>
      <c r="J7" s="97"/>
      <c r="K7" s="97"/>
      <c r="L7" s="90"/>
      <c r="M7" s="90"/>
      <c r="N7" s="91"/>
      <c r="O7" s="91"/>
      <c r="P7" s="91">
        <f t="shared" si="0"/>
        <v>0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253</v>
      </c>
      <c r="B5" s="97" t="s">
        <v>253</v>
      </c>
      <c r="C5" s="97" t="s">
        <v>387</v>
      </c>
      <c r="D5" s="47"/>
      <c r="E5" s="97" t="s">
        <v>50</v>
      </c>
      <c r="F5" s="97" t="s">
        <v>688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90">
        <v>45001</v>
      </c>
      <c r="M5" s="90">
        <v>45002</v>
      </c>
      <c r="N5" s="91">
        <f t="shared" ref="N5:O7" si="0">936.14/2</f>
        <v>468.07</v>
      </c>
      <c r="O5" s="91">
        <f t="shared" si="0"/>
        <v>468.07</v>
      </c>
      <c r="P5" s="91">
        <f>SUM(N5:O5)</f>
        <v>936.14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7"/>
    </row>
    <row r="6" spans="1:24" s="92" customFormat="1" ht="15">
      <c r="A6" s="97" t="s">
        <v>253</v>
      </c>
      <c r="B6" s="97" t="s">
        <v>212</v>
      </c>
      <c r="C6" s="97" t="s">
        <v>620</v>
      </c>
      <c r="D6" s="47">
        <v>365</v>
      </c>
      <c r="E6" s="97" t="s">
        <v>34</v>
      </c>
      <c r="F6" s="97" t="s">
        <v>688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45001</v>
      </c>
      <c r="M6" s="90">
        <v>45002</v>
      </c>
      <c r="N6" s="91">
        <f t="shared" si="0"/>
        <v>468.07</v>
      </c>
      <c r="O6" s="91">
        <f t="shared" si="0"/>
        <v>468.07</v>
      </c>
      <c r="P6" s="91">
        <f t="shared" ref="P6:P10" si="1">SUM(N6:O6)</f>
        <v>936.14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7"/>
    </row>
    <row r="7" spans="1:24" s="92" customFormat="1" ht="15">
      <c r="A7" s="97" t="s">
        <v>253</v>
      </c>
      <c r="B7" s="97" t="s">
        <v>212</v>
      </c>
      <c r="C7" s="97" t="s">
        <v>270</v>
      </c>
      <c r="D7" s="47" t="s">
        <v>168</v>
      </c>
      <c r="E7" s="97" t="s">
        <v>599</v>
      </c>
      <c r="F7" s="97" t="s">
        <v>688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45001</v>
      </c>
      <c r="M7" s="90">
        <v>45002</v>
      </c>
      <c r="N7" s="91">
        <f t="shared" si="0"/>
        <v>468.07</v>
      </c>
      <c r="O7" s="91">
        <f t="shared" si="0"/>
        <v>468.07</v>
      </c>
      <c r="P7" s="91">
        <f t="shared" si="1"/>
        <v>936.14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7"/>
    </row>
    <row r="8" spans="1:24" s="92" customFormat="1" ht="15">
      <c r="A8" s="97" t="s">
        <v>231</v>
      </c>
      <c r="B8" s="97" t="s">
        <v>229</v>
      </c>
      <c r="C8" s="97" t="s">
        <v>586</v>
      </c>
      <c r="D8" s="47">
        <v>357</v>
      </c>
      <c r="E8" s="97" t="s">
        <v>248</v>
      </c>
      <c r="F8" s="97" t="s">
        <v>689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44997</v>
      </c>
      <c r="M8" s="90">
        <v>45002</v>
      </c>
      <c r="N8" s="91">
        <v>1623.42</v>
      </c>
      <c r="O8" s="91">
        <v>1879.42</v>
      </c>
      <c r="P8" s="91">
        <f t="shared" si="1"/>
        <v>3502.84</v>
      </c>
      <c r="Q8" s="77">
        <v>0</v>
      </c>
      <c r="R8" s="91">
        <v>0</v>
      </c>
      <c r="S8" s="77">
        <v>0</v>
      </c>
      <c r="T8" s="91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7"/>
    </row>
    <row r="9" spans="1:24" s="92" customFormat="1" ht="15">
      <c r="A9" s="97" t="s">
        <v>253</v>
      </c>
      <c r="B9" s="97" t="s">
        <v>288</v>
      </c>
      <c r="C9" s="97" t="s">
        <v>345</v>
      </c>
      <c r="D9" s="47">
        <v>74</v>
      </c>
      <c r="E9" s="97" t="s">
        <v>535</v>
      </c>
      <c r="F9" s="97" t="s">
        <v>690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44988</v>
      </c>
      <c r="M9" s="90">
        <v>44989</v>
      </c>
      <c r="N9" s="91">
        <f>1709.31/2</f>
        <v>854.65499999999997</v>
      </c>
      <c r="O9" s="91">
        <f>1709.31/2</f>
        <v>854.65499999999997</v>
      </c>
      <c r="P9" s="91">
        <f t="shared" si="1"/>
        <v>1709.31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7"/>
    </row>
    <row r="10" spans="1:24" s="92" customFormat="1" ht="15">
      <c r="A10" s="180" t="s">
        <v>371</v>
      </c>
      <c r="B10" s="180" t="s">
        <v>240</v>
      </c>
      <c r="C10" s="180" t="s">
        <v>140</v>
      </c>
      <c r="D10" s="108">
        <v>230</v>
      </c>
      <c r="E10" s="182" t="s">
        <v>142</v>
      </c>
      <c r="F10" s="180" t="s">
        <v>691</v>
      </c>
      <c r="G10" s="97" t="s">
        <v>36</v>
      </c>
      <c r="H10" s="97" t="s">
        <v>62</v>
      </c>
      <c r="I10" s="97" t="s">
        <v>63</v>
      </c>
      <c r="J10" s="97" t="s">
        <v>39</v>
      </c>
      <c r="K10" s="97" t="s">
        <v>40</v>
      </c>
      <c r="L10" s="165">
        <v>45011</v>
      </c>
      <c r="M10" s="165">
        <v>45013</v>
      </c>
      <c r="N10" s="163">
        <f>3156.22/2</f>
        <v>1578.11</v>
      </c>
      <c r="O10" s="163">
        <f>3156.22/2</f>
        <v>1578.11</v>
      </c>
      <c r="P10" s="163">
        <f t="shared" si="1"/>
        <v>3156.22</v>
      </c>
      <c r="Q10" s="159">
        <v>7</v>
      </c>
      <c r="R10" s="163">
        <v>120</v>
      </c>
      <c r="S10" s="159">
        <v>0</v>
      </c>
      <c r="T10" s="163">
        <v>0</v>
      </c>
      <c r="U10" s="157">
        <f t="shared" si="2"/>
        <v>840</v>
      </c>
      <c r="V10" s="157">
        <f>P10+U10</f>
        <v>3996.22</v>
      </c>
      <c r="W10" s="157">
        <f>V10</f>
        <v>3996.22</v>
      </c>
      <c r="X10" s="180"/>
    </row>
    <row r="11" spans="1:24" s="92" customFormat="1" ht="15">
      <c r="A11" s="181"/>
      <c r="B11" s="181"/>
      <c r="C11" s="181"/>
      <c r="D11" s="108"/>
      <c r="E11" s="182"/>
      <c r="F11" s="181"/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166"/>
      <c r="M11" s="166"/>
      <c r="N11" s="164"/>
      <c r="O11" s="164"/>
      <c r="P11" s="164"/>
      <c r="Q11" s="160"/>
      <c r="R11" s="164"/>
      <c r="S11" s="160"/>
      <c r="T11" s="164"/>
      <c r="U11" s="158"/>
      <c r="V11" s="158"/>
      <c r="W11" s="158"/>
      <c r="X11" s="181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371</v>
      </c>
      <c r="B5" s="97" t="s">
        <v>240</v>
      </c>
      <c r="C5" s="97" t="s">
        <v>448</v>
      </c>
      <c r="D5" s="47">
        <v>336</v>
      </c>
      <c r="E5" s="97" t="s">
        <v>692</v>
      </c>
      <c r="F5" s="97" t="s">
        <v>693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45019</v>
      </c>
      <c r="M5" s="90">
        <v>45021</v>
      </c>
      <c r="N5" s="91">
        <f t="shared" ref="N5:O7" si="0">3258.83/2</f>
        <v>1629.415</v>
      </c>
      <c r="O5" s="91">
        <f t="shared" si="0"/>
        <v>1629.415</v>
      </c>
      <c r="P5" s="91">
        <f>SUM(N5:O5)</f>
        <v>3258.83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7"/>
    </row>
    <row r="6" spans="1:24" s="92" customFormat="1" ht="15">
      <c r="A6" s="97" t="s">
        <v>371</v>
      </c>
      <c r="B6" s="97" t="s">
        <v>240</v>
      </c>
      <c r="C6" s="97" t="s">
        <v>140</v>
      </c>
      <c r="D6" s="47">
        <v>230</v>
      </c>
      <c r="E6" s="97" t="s">
        <v>142</v>
      </c>
      <c r="F6" s="97" t="s">
        <v>693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40</v>
      </c>
      <c r="L6" s="90">
        <v>45019</v>
      </c>
      <c r="M6" s="90">
        <v>45021</v>
      </c>
      <c r="N6" s="91">
        <f t="shared" si="0"/>
        <v>1629.415</v>
      </c>
      <c r="O6" s="91">
        <f t="shared" si="0"/>
        <v>1629.415</v>
      </c>
      <c r="P6" s="91">
        <f t="shared" ref="P6:P10" si="1">SUM(N6:O6)</f>
        <v>3258.83</v>
      </c>
      <c r="Q6" s="77">
        <v>6</v>
      </c>
      <c r="R6" s="91">
        <v>120</v>
      </c>
      <c r="S6" s="77">
        <v>0</v>
      </c>
      <c r="T6" s="91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78</v>
      </c>
      <c r="F7" s="97" t="s">
        <v>693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40</v>
      </c>
      <c r="L7" s="90">
        <v>45019</v>
      </c>
      <c r="M7" s="90">
        <v>45021</v>
      </c>
      <c r="N7" s="91">
        <f t="shared" si="0"/>
        <v>1629.415</v>
      </c>
      <c r="O7" s="91">
        <f t="shared" si="0"/>
        <v>1629.415</v>
      </c>
      <c r="P7" s="91">
        <f t="shared" si="1"/>
        <v>3258.83</v>
      </c>
      <c r="Q7" s="77">
        <v>3</v>
      </c>
      <c r="R7" s="91">
        <v>120</v>
      </c>
      <c r="S7" s="77">
        <v>0</v>
      </c>
      <c r="T7" s="91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7"/>
    </row>
    <row r="8" spans="1:24" s="92" customFormat="1" ht="15">
      <c r="A8" s="97" t="s">
        <v>253</v>
      </c>
      <c r="B8" s="97" t="s">
        <v>288</v>
      </c>
      <c r="C8" s="97" t="s">
        <v>642</v>
      </c>
      <c r="D8" s="47">
        <v>252</v>
      </c>
      <c r="E8" s="97" t="s">
        <v>694</v>
      </c>
      <c r="F8" s="97" t="s">
        <v>695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90">
        <v>45021</v>
      </c>
      <c r="M8" s="90">
        <v>45036</v>
      </c>
      <c r="N8" s="91">
        <f>1112.2/2</f>
        <v>556.1</v>
      </c>
      <c r="O8" s="91">
        <f>1112.2/2</f>
        <v>556.1</v>
      </c>
      <c r="P8" s="91">
        <f t="shared" si="1"/>
        <v>1112.2</v>
      </c>
      <c r="Q8" s="77">
        <v>16</v>
      </c>
      <c r="R8" s="91">
        <v>120</v>
      </c>
      <c r="S8" s="77">
        <v>0</v>
      </c>
      <c r="T8" s="91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7"/>
    </row>
    <row r="9" spans="1:24" s="92" customFormat="1" ht="15">
      <c r="A9" s="97" t="s">
        <v>253</v>
      </c>
      <c r="B9" s="97" t="s">
        <v>253</v>
      </c>
      <c r="C9" s="97" t="s">
        <v>675</v>
      </c>
      <c r="D9" s="47">
        <v>383</v>
      </c>
      <c r="E9" s="97" t="s">
        <v>676</v>
      </c>
      <c r="F9" s="97" t="s">
        <v>696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45040</v>
      </c>
      <c r="M9" s="90">
        <v>45041</v>
      </c>
      <c r="N9" s="91">
        <f>5617.58/2</f>
        <v>2808.79</v>
      </c>
      <c r="O9" s="91">
        <f>5617.58/2</f>
        <v>2808.79</v>
      </c>
      <c r="P9" s="91">
        <f t="shared" si="1"/>
        <v>5617.58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7"/>
    </row>
    <row r="10" spans="1:24" s="92" customFormat="1" ht="15">
      <c r="A10" s="97" t="s">
        <v>253</v>
      </c>
      <c r="B10" s="97" t="s">
        <v>253</v>
      </c>
      <c r="C10" s="97" t="s">
        <v>387</v>
      </c>
      <c r="D10" s="47"/>
      <c r="E10" s="97" t="s">
        <v>50</v>
      </c>
      <c r="F10" s="97" t="s">
        <v>696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40</v>
      </c>
      <c r="L10" s="90">
        <v>45040</v>
      </c>
      <c r="M10" s="90">
        <v>45041</v>
      </c>
      <c r="N10" s="91">
        <f>5617.58/2</f>
        <v>2808.79</v>
      </c>
      <c r="O10" s="91">
        <f>5617.58/2</f>
        <v>2808.79</v>
      </c>
      <c r="P10" s="91">
        <f t="shared" si="1"/>
        <v>5617.58</v>
      </c>
      <c r="Q10" s="77">
        <v>0</v>
      </c>
      <c r="R10" s="91">
        <v>0</v>
      </c>
      <c r="S10" s="77">
        <v>0</v>
      </c>
      <c r="T10" s="91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D5" sqref="D5:E5"/>
    </sheetView>
  </sheetViews>
  <sheetFormatPr defaultRowHeight="14.25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253</v>
      </c>
      <c r="B5" s="97" t="s">
        <v>253</v>
      </c>
      <c r="C5" s="97" t="s">
        <v>387</v>
      </c>
      <c r="D5" s="47"/>
      <c r="E5" s="97" t="s">
        <v>50</v>
      </c>
      <c r="F5" s="97" t="s">
        <v>697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45055</v>
      </c>
      <c r="M5" s="90">
        <v>45060</v>
      </c>
      <c r="N5" s="91">
        <f>1309.52/2</f>
        <v>654.76</v>
      </c>
      <c r="O5" s="91">
        <f>1309.52/2</f>
        <v>654.76</v>
      </c>
      <c r="P5" s="91">
        <f>SUM(N5:O5)</f>
        <v>1309.52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7"/>
    </row>
    <row r="6" spans="1:24" s="92" customFormat="1" ht="15">
      <c r="A6" s="97" t="s">
        <v>253</v>
      </c>
      <c r="B6" s="97" t="s">
        <v>253</v>
      </c>
      <c r="C6" s="97" t="s">
        <v>675</v>
      </c>
      <c r="D6" s="47">
        <v>383</v>
      </c>
      <c r="E6" s="97" t="s">
        <v>698</v>
      </c>
      <c r="F6" s="97" t="s">
        <v>699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45055</v>
      </c>
      <c r="M6" s="90">
        <v>45057</v>
      </c>
      <c r="N6" s="91">
        <f>1592.83/2</f>
        <v>796.41499999999996</v>
      </c>
      <c r="O6" s="91">
        <f>1592.83/2</f>
        <v>796.41499999999996</v>
      </c>
      <c r="P6" s="91">
        <f t="shared" ref="P6:P11" si="0">SUM(N6:O6)</f>
        <v>1592.83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699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45055</v>
      </c>
      <c r="M7" s="90">
        <v>45057</v>
      </c>
      <c r="N7" s="91">
        <f>1619.83/2</f>
        <v>809.91499999999996</v>
      </c>
      <c r="O7" s="91">
        <f>1619.83/2</f>
        <v>809.91499999999996</v>
      </c>
      <c r="P7" s="91">
        <f t="shared" si="0"/>
        <v>1619.83</v>
      </c>
      <c r="Q7" s="77">
        <v>3</v>
      </c>
      <c r="R7" s="91">
        <v>120</v>
      </c>
      <c r="S7" s="77">
        <v>0</v>
      </c>
      <c r="T7" s="91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7"/>
    </row>
    <row r="8" spans="1:24" s="92" customFormat="1" ht="15">
      <c r="A8" s="97" t="s">
        <v>371</v>
      </c>
      <c r="B8" s="97" t="s">
        <v>371</v>
      </c>
      <c r="C8" s="97" t="s">
        <v>79</v>
      </c>
      <c r="D8" s="47"/>
      <c r="E8" s="97" t="s">
        <v>80</v>
      </c>
      <c r="F8" s="97" t="s">
        <v>699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45055</v>
      </c>
      <c r="M8" s="90">
        <v>45057</v>
      </c>
      <c r="N8" s="91">
        <f>1699.96/2</f>
        <v>849.98</v>
      </c>
      <c r="O8" s="91">
        <f>1699.96/2</f>
        <v>849.98</v>
      </c>
      <c r="P8" s="91">
        <f t="shared" si="0"/>
        <v>1699.96</v>
      </c>
      <c r="Q8" s="77">
        <v>0</v>
      </c>
      <c r="R8" s="91">
        <v>0</v>
      </c>
      <c r="S8" s="77">
        <v>0</v>
      </c>
      <c r="T8" s="91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7"/>
    </row>
    <row r="9" spans="1:24" s="92" customFormat="1" ht="15">
      <c r="A9" s="97" t="s">
        <v>231</v>
      </c>
      <c r="B9" s="97" t="s">
        <v>241</v>
      </c>
      <c r="C9" s="97" t="s">
        <v>701</v>
      </c>
      <c r="D9" s="47">
        <v>394</v>
      </c>
      <c r="E9" s="97" t="s">
        <v>702</v>
      </c>
      <c r="F9" s="97" t="s">
        <v>703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45056</v>
      </c>
      <c r="M9" s="90">
        <v>45058</v>
      </c>
      <c r="N9" s="91">
        <f>5095/2</f>
        <v>2547.5</v>
      </c>
      <c r="O9" s="91">
        <f>5095/2</f>
        <v>2547.5</v>
      </c>
      <c r="P9" s="91">
        <f t="shared" si="0"/>
        <v>5095</v>
      </c>
      <c r="Q9" s="77">
        <v>3</v>
      </c>
      <c r="R9" s="91">
        <v>120</v>
      </c>
      <c r="S9" s="77">
        <v>0</v>
      </c>
      <c r="T9" s="91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7"/>
    </row>
    <row r="10" spans="1:24" s="92" customFormat="1" ht="15">
      <c r="A10" s="97" t="s">
        <v>231</v>
      </c>
      <c r="B10" s="97" t="s">
        <v>231</v>
      </c>
      <c r="C10" s="97" t="s">
        <v>704</v>
      </c>
      <c r="D10" s="47"/>
      <c r="E10" s="97" t="s">
        <v>562</v>
      </c>
      <c r="F10" s="97" t="s">
        <v>703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45056</v>
      </c>
      <c r="M10" s="90">
        <v>45058</v>
      </c>
      <c r="N10" s="91">
        <f>4603/2</f>
        <v>2301.5</v>
      </c>
      <c r="O10" s="91">
        <f>4603/2</f>
        <v>2301.5</v>
      </c>
      <c r="P10" s="91">
        <f t="shared" si="0"/>
        <v>4603</v>
      </c>
      <c r="Q10" s="77">
        <v>0</v>
      </c>
      <c r="R10" s="91">
        <v>0</v>
      </c>
      <c r="S10" s="77">
        <v>0</v>
      </c>
      <c r="T10" s="91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7"/>
    </row>
    <row r="11" spans="1:24" ht="15">
      <c r="A11" s="182" t="s">
        <v>253</v>
      </c>
      <c r="B11" s="182" t="s">
        <v>253</v>
      </c>
      <c r="C11" s="182" t="s">
        <v>387</v>
      </c>
      <c r="D11" s="170"/>
      <c r="E11" s="180" t="s">
        <v>50</v>
      </c>
      <c r="F11" s="173" t="s">
        <v>705</v>
      </c>
      <c r="G11" s="97" t="s">
        <v>36</v>
      </c>
      <c r="H11" s="97" t="s">
        <v>37</v>
      </c>
      <c r="I11" s="97" t="s">
        <v>38</v>
      </c>
      <c r="J11" s="97" t="s">
        <v>39</v>
      </c>
      <c r="K11" s="97" t="s">
        <v>40</v>
      </c>
      <c r="L11" s="94">
        <v>45063</v>
      </c>
      <c r="M11" s="94">
        <v>45064</v>
      </c>
      <c r="N11" s="163">
        <f>8486.12/2</f>
        <v>4243.0600000000004</v>
      </c>
      <c r="O11" s="163">
        <f>8486.12/2</f>
        <v>4243.0600000000004</v>
      </c>
      <c r="P11" s="163">
        <f t="shared" si="0"/>
        <v>8486.1200000000008</v>
      </c>
      <c r="Q11" s="168">
        <v>0</v>
      </c>
      <c r="R11" s="163">
        <v>0</v>
      </c>
      <c r="S11" s="168">
        <v>0</v>
      </c>
      <c r="T11" s="163">
        <v>0</v>
      </c>
      <c r="U11" s="168">
        <v>0</v>
      </c>
      <c r="V11" s="157">
        <f t="shared" ref="V11:V14" si="4">P11+U11</f>
        <v>8486.1200000000008</v>
      </c>
      <c r="W11" s="157">
        <f t="shared" ref="W11:W14" si="5">V11</f>
        <v>8486.1200000000008</v>
      </c>
      <c r="X11" s="161"/>
    </row>
    <row r="12" spans="1:24" ht="15">
      <c r="A12" s="182"/>
      <c r="B12" s="182"/>
      <c r="C12" s="182"/>
      <c r="D12" s="171"/>
      <c r="E12" s="183"/>
      <c r="F12" s="174"/>
      <c r="G12" s="97" t="s">
        <v>36</v>
      </c>
      <c r="H12" s="97" t="s">
        <v>39</v>
      </c>
      <c r="I12" s="97" t="s">
        <v>40</v>
      </c>
      <c r="J12" s="97" t="s">
        <v>127</v>
      </c>
      <c r="K12" s="97" t="s">
        <v>63</v>
      </c>
      <c r="L12" s="94">
        <v>45064</v>
      </c>
      <c r="M12" s="94">
        <v>45064</v>
      </c>
      <c r="N12" s="167"/>
      <c r="O12" s="167"/>
      <c r="P12" s="167"/>
      <c r="Q12" s="168"/>
      <c r="R12" s="167"/>
      <c r="S12" s="168"/>
      <c r="T12" s="167"/>
      <c r="U12" s="168"/>
      <c r="V12" s="169"/>
      <c r="W12" s="169"/>
      <c r="X12" s="161"/>
    </row>
    <row r="13" spans="1:24" ht="15">
      <c r="A13" s="182"/>
      <c r="B13" s="182"/>
      <c r="C13" s="182"/>
      <c r="D13" s="172"/>
      <c r="E13" s="181"/>
      <c r="F13" s="175"/>
      <c r="G13" s="97" t="s">
        <v>36</v>
      </c>
      <c r="H13" s="97" t="s">
        <v>127</v>
      </c>
      <c r="I13" s="97" t="s">
        <v>63</v>
      </c>
      <c r="J13" s="97" t="s">
        <v>37</v>
      </c>
      <c r="K13" s="97" t="s">
        <v>38</v>
      </c>
      <c r="L13" s="94">
        <v>45064</v>
      </c>
      <c r="M13" s="94">
        <v>45064</v>
      </c>
      <c r="N13" s="164"/>
      <c r="O13" s="164"/>
      <c r="P13" s="164"/>
      <c r="Q13" s="168"/>
      <c r="R13" s="164"/>
      <c r="S13" s="168"/>
      <c r="T13" s="164"/>
      <c r="U13" s="168"/>
      <c r="V13" s="158"/>
      <c r="W13" s="158"/>
      <c r="X13" s="161"/>
    </row>
    <row r="14" spans="1:24" ht="15">
      <c r="A14" s="180" t="s">
        <v>371</v>
      </c>
      <c r="B14" s="180" t="s">
        <v>371</v>
      </c>
      <c r="C14" s="182" t="s">
        <v>79</v>
      </c>
      <c r="D14" s="170"/>
      <c r="E14" s="180" t="s">
        <v>80</v>
      </c>
      <c r="F14" s="173" t="s">
        <v>705</v>
      </c>
      <c r="G14" s="97" t="s">
        <v>36</v>
      </c>
      <c r="H14" s="97" t="s">
        <v>37</v>
      </c>
      <c r="I14" s="97" t="s">
        <v>38</v>
      </c>
      <c r="J14" s="97" t="s">
        <v>39</v>
      </c>
      <c r="K14" s="97" t="s">
        <v>40</v>
      </c>
      <c r="L14" s="94">
        <v>45063</v>
      </c>
      <c r="M14" s="94">
        <v>45064</v>
      </c>
      <c r="N14" s="163">
        <f>8375.42/2</f>
        <v>4187.71</v>
      </c>
      <c r="O14" s="163">
        <f>8375.42/2</f>
        <v>4187.71</v>
      </c>
      <c r="P14" s="163">
        <f>SUM(N14:O16)</f>
        <v>8375.42</v>
      </c>
      <c r="Q14" s="168">
        <v>0</v>
      </c>
      <c r="R14" s="163">
        <v>0</v>
      </c>
      <c r="S14" s="168">
        <v>0</v>
      </c>
      <c r="T14" s="163">
        <v>0</v>
      </c>
      <c r="U14" s="168">
        <v>0</v>
      </c>
      <c r="V14" s="157">
        <f t="shared" si="4"/>
        <v>8375.42</v>
      </c>
      <c r="W14" s="157">
        <f t="shared" si="5"/>
        <v>8375.42</v>
      </c>
      <c r="X14" s="161"/>
    </row>
    <row r="15" spans="1:24" ht="15">
      <c r="A15" s="183"/>
      <c r="B15" s="183"/>
      <c r="C15" s="182"/>
      <c r="D15" s="171"/>
      <c r="E15" s="183"/>
      <c r="F15" s="174"/>
      <c r="G15" s="97" t="s">
        <v>36</v>
      </c>
      <c r="H15" s="97" t="s">
        <v>127</v>
      </c>
      <c r="I15" s="97" t="s">
        <v>40</v>
      </c>
      <c r="J15" s="97" t="s">
        <v>127</v>
      </c>
      <c r="K15" s="97" t="s">
        <v>63</v>
      </c>
      <c r="L15" s="94">
        <v>45064</v>
      </c>
      <c r="M15" s="94">
        <v>45064</v>
      </c>
      <c r="N15" s="167"/>
      <c r="O15" s="167"/>
      <c r="P15" s="167"/>
      <c r="Q15" s="168"/>
      <c r="R15" s="167"/>
      <c r="S15" s="168"/>
      <c r="T15" s="167"/>
      <c r="U15" s="168"/>
      <c r="V15" s="169"/>
      <c r="W15" s="169"/>
      <c r="X15" s="161"/>
    </row>
    <row r="16" spans="1:24" ht="15">
      <c r="A16" s="181"/>
      <c r="B16" s="181"/>
      <c r="C16" s="182"/>
      <c r="D16" s="172"/>
      <c r="E16" s="181"/>
      <c r="F16" s="175"/>
      <c r="G16" s="97" t="s">
        <v>36</v>
      </c>
      <c r="H16" s="97" t="s">
        <v>39</v>
      </c>
      <c r="I16" s="97" t="s">
        <v>63</v>
      </c>
      <c r="J16" s="97" t="s">
        <v>116</v>
      </c>
      <c r="K16" s="97" t="s">
        <v>117</v>
      </c>
      <c r="L16" s="94">
        <v>45064</v>
      </c>
      <c r="M16" s="94">
        <v>45064</v>
      </c>
      <c r="N16" s="164"/>
      <c r="O16" s="164"/>
      <c r="P16" s="164"/>
      <c r="Q16" s="168"/>
      <c r="R16" s="164"/>
      <c r="S16" s="168"/>
      <c r="T16" s="164"/>
      <c r="U16" s="168"/>
      <c r="V16" s="158"/>
      <c r="W16" s="158"/>
      <c r="X16" s="161"/>
    </row>
    <row r="17" spans="1:24" ht="15">
      <c r="A17" s="180" t="s">
        <v>231</v>
      </c>
      <c r="B17" s="180" t="s">
        <v>231</v>
      </c>
      <c r="C17" s="182" t="s">
        <v>704</v>
      </c>
      <c r="D17" s="170"/>
      <c r="E17" s="180" t="s">
        <v>562</v>
      </c>
      <c r="F17" s="173" t="s">
        <v>705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94">
        <v>45063</v>
      </c>
      <c r="M17" s="94">
        <v>45064</v>
      </c>
      <c r="N17" s="163">
        <f>8219.66/2</f>
        <v>4109.83</v>
      </c>
      <c r="O17" s="163">
        <f>8219.66/2</f>
        <v>4109.83</v>
      </c>
      <c r="P17" s="163">
        <f>SUM(N17:O19)</f>
        <v>8219.66</v>
      </c>
      <c r="Q17" s="168">
        <v>0</v>
      </c>
      <c r="R17" s="163">
        <v>0</v>
      </c>
      <c r="S17" s="168">
        <v>0</v>
      </c>
      <c r="T17" s="163">
        <v>0</v>
      </c>
      <c r="U17" s="168">
        <v>0</v>
      </c>
      <c r="V17" s="157">
        <f t="shared" ref="V17" si="6">P17+U17</f>
        <v>8219.66</v>
      </c>
      <c r="W17" s="157">
        <f t="shared" ref="W17" si="7">V17</f>
        <v>8219.66</v>
      </c>
      <c r="X17" s="161"/>
    </row>
    <row r="18" spans="1:24" ht="15">
      <c r="A18" s="183"/>
      <c r="B18" s="183"/>
      <c r="C18" s="182"/>
      <c r="D18" s="171"/>
      <c r="E18" s="183"/>
      <c r="F18" s="174"/>
      <c r="G18" s="97" t="s">
        <v>36</v>
      </c>
      <c r="H18" s="97" t="s">
        <v>39</v>
      </c>
      <c r="I18" s="97" t="s">
        <v>40</v>
      </c>
      <c r="J18" s="97" t="s">
        <v>127</v>
      </c>
      <c r="K18" s="97" t="s">
        <v>63</v>
      </c>
      <c r="L18" s="94">
        <v>45064</v>
      </c>
      <c r="M18" s="94">
        <v>45064</v>
      </c>
      <c r="N18" s="167"/>
      <c r="O18" s="167"/>
      <c r="P18" s="167"/>
      <c r="Q18" s="168"/>
      <c r="R18" s="167"/>
      <c r="S18" s="168"/>
      <c r="T18" s="167"/>
      <c r="U18" s="168"/>
      <c r="V18" s="169"/>
      <c r="W18" s="169"/>
      <c r="X18" s="161"/>
    </row>
    <row r="19" spans="1:24" ht="15">
      <c r="A19" s="181"/>
      <c r="B19" s="181"/>
      <c r="C19" s="182"/>
      <c r="D19" s="172"/>
      <c r="E19" s="181"/>
      <c r="F19" s="175"/>
      <c r="G19" s="97" t="s">
        <v>36</v>
      </c>
      <c r="H19" s="97" t="s">
        <v>127</v>
      </c>
      <c r="I19" s="97" t="s">
        <v>63</v>
      </c>
      <c r="J19" s="97" t="s">
        <v>37</v>
      </c>
      <c r="K19" s="97" t="s">
        <v>38</v>
      </c>
      <c r="L19" s="94">
        <v>45064</v>
      </c>
      <c r="M19" s="94">
        <v>45064</v>
      </c>
      <c r="N19" s="164"/>
      <c r="O19" s="164"/>
      <c r="P19" s="164"/>
      <c r="Q19" s="168"/>
      <c r="R19" s="164"/>
      <c r="S19" s="168"/>
      <c r="T19" s="164"/>
      <c r="U19" s="168"/>
      <c r="V19" s="158"/>
      <c r="W19" s="158"/>
      <c r="X19" s="161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A14:A16"/>
    <mergeCell ref="B14:B16"/>
    <mergeCell ref="C14:C16"/>
    <mergeCell ref="D14:D16"/>
    <mergeCell ref="E14:E16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30">
      <c r="A5" s="97" t="s">
        <v>371</v>
      </c>
      <c r="B5" s="97" t="s">
        <v>371</v>
      </c>
      <c r="C5" s="97" t="s">
        <v>79</v>
      </c>
      <c r="D5" s="47">
        <v>0</v>
      </c>
      <c r="E5" s="98" t="s">
        <v>80</v>
      </c>
      <c r="F5" s="97" t="s">
        <v>706</v>
      </c>
      <c r="G5" s="97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90">
        <v>45096</v>
      </c>
      <c r="M5" s="90">
        <v>45099</v>
      </c>
      <c r="N5" s="91">
        <f>2027.55/2</f>
        <v>1013.775</v>
      </c>
      <c r="O5" s="91">
        <f>2027.55/2</f>
        <v>1013.775</v>
      </c>
      <c r="P5" s="91">
        <f t="shared" ref="P5:P15" si="0">SUM(N5:O5)</f>
        <v>2027.55</v>
      </c>
      <c r="Q5" s="77">
        <v>0</v>
      </c>
      <c r="R5" s="91">
        <v>0</v>
      </c>
      <c r="S5" s="77">
        <v>0</v>
      </c>
      <c r="T5" s="91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7"/>
    </row>
    <row r="6" spans="1:24" s="92" customFormat="1" ht="15">
      <c r="A6" s="97" t="s">
        <v>253</v>
      </c>
      <c r="B6" s="97" t="s">
        <v>212</v>
      </c>
      <c r="C6" s="97" t="s">
        <v>41</v>
      </c>
      <c r="D6" s="47">
        <v>129</v>
      </c>
      <c r="E6" s="97" t="s">
        <v>42</v>
      </c>
      <c r="F6" s="97" t="s">
        <v>707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45090</v>
      </c>
      <c r="M6" s="90">
        <v>45093</v>
      </c>
      <c r="N6" s="91">
        <f>3267.13/2</f>
        <v>1633.5650000000001</v>
      </c>
      <c r="O6" s="91">
        <f>3267.13/2</f>
        <v>1633.5650000000001</v>
      </c>
      <c r="P6" s="91">
        <f t="shared" si="0"/>
        <v>3267.13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708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45088</v>
      </c>
      <c r="M7" s="90">
        <v>45090</v>
      </c>
      <c r="N7" s="91">
        <f>1290.96/2</f>
        <v>645.48</v>
      </c>
      <c r="O7" s="91">
        <f>1290.96/2</f>
        <v>645.48</v>
      </c>
      <c r="P7" s="91">
        <f t="shared" si="0"/>
        <v>1290.96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7"/>
    </row>
    <row r="8" spans="1:24" s="92" customFormat="1" ht="15">
      <c r="A8" s="97" t="s">
        <v>371</v>
      </c>
      <c r="B8" s="97" t="s">
        <v>240</v>
      </c>
      <c r="C8" s="97" t="s">
        <v>140</v>
      </c>
      <c r="D8" s="47">
        <v>230</v>
      </c>
      <c r="E8" s="97" t="s">
        <v>709</v>
      </c>
      <c r="F8" s="97" t="s">
        <v>708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45088</v>
      </c>
      <c r="M8" s="90">
        <v>45090</v>
      </c>
      <c r="N8" s="91">
        <f>1290.96/2</f>
        <v>645.48</v>
      </c>
      <c r="O8" s="91">
        <f>1290.96/2</f>
        <v>645.48</v>
      </c>
      <c r="P8" s="91">
        <f t="shared" si="0"/>
        <v>1290.96</v>
      </c>
      <c r="Q8" s="77">
        <v>3</v>
      </c>
      <c r="R8" s="91">
        <v>120</v>
      </c>
      <c r="S8" s="77">
        <v>0</v>
      </c>
      <c r="T8" s="91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7"/>
    </row>
    <row r="9" spans="1:24" s="92" customFormat="1" ht="1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97" t="s">
        <v>710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45091</v>
      </c>
      <c r="M9" s="90">
        <v>45092</v>
      </c>
      <c r="N9" s="91">
        <f>6397.34/2</f>
        <v>3198.67</v>
      </c>
      <c r="O9" s="91">
        <f>6397.34/2</f>
        <v>3198.67</v>
      </c>
      <c r="P9" s="91">
        <f t="shared" si="0"/>
        <v>6397.34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7"/>
    </row>
    <row r="10" spans="1:24" s="92" customFormat="1" ht="15">
      <c r="A10" s="97" t="s">
        <v>231</v>
      </c>
      <c r="B10" s="97" t="s">
        <v>711</v>
      </c>
      <c r="C10" s="97" t="s">
        <v>712</v>
      </c>
      <c r="D10" s="47">
        <v>0</v>
      </c>
      <c r="E10" s="97" t="s">
        <v>713</v>
      </c>
      <c r="F10" s="97" t="s">
        <v>714</v>
      </c>
      <c r="G10" s="97" t="s">
        <v>36</v>
      </c>
      <c r="H10" s="97" t="s">
        <v>39</v>
      </c>
      <c r="I10" s="97" t="s">
        <v>40</v>
      </c>
      <c r="J10" s="97" t="s">
        <v>37</v>
      </c>
      <c r="K10" s="97" t="s">
        <v>38</v>
      </c>
      <c r="L10" s="90">
        <v>45103</v>
      </c>
      <c r="M10" s="90">
        <v>45103</v>
      </c>
      <c r="N10" s="91">
        <v>2364.62</v>
      </c>
      <c r="O10" s="91">
        <v>8486.1200000000008</v>
      </c>
      <c r="P10" s="91">
        <f t="shared" si="0"/>
        <v>10850.740000000002</v>
      </c>
      <c r="Q10" s="77">
        <v>0</v>
      </c>
      <c r="R10" s="91">
        <v>0</v>
      </c>
      <c r="S10" s="77">
        <v>0</v>
      </c>
      <c r="T10" s="91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7"/>
    </row>
    <row r="11" spans="1:24" s="92" customFormat="1" ht="15">
      <c r="A11" s="97" t="s">
        <v>231</v>
      </c>
      <c r="B11" s="97" t="s">
        <v>711</v>
      </c>
      <c r="C11" s="97" t="s">
        <v>715</v>
      </c>
      <c r="D11" s="47">
        <v>0</v>
      </c>
      <c r="E11" s="97" t="s">
        <v>713</v>
      </c>
      <c r="F11" s="97" t="s">
        <v>714</v>
      </c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90">
        <v>45103</v>
      </c>
      <c r="M11" s="90">
        <v>45103</v>
      </c>
      <c r="N11" s="91">
        <v>2364.62</v>
      </c>
      <c r="O11" s="91">
        <v>8486.1200000000008</v>
      </c>
      <c r="P11" s="91">
        <f t="shared" si="0"/>
        <v>10850.740000000002</v>
      </c>
      <c r="Q11" s="77">
        <v>0</v>
      </c>
      <c r="R11" s="91">
        <v>0</v>
      </c>
      <c r="S11" s="77">
        <v>0</v>
      </c>
      <c r="T11" s="91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7"/>
    </row>
    <row r="12" spans="1:24" s="92" customFormat="1" ht="15">
      <c r="A12" s="97" t="s">
        <v>231</v>
      </c>
      <c r="B12" s="97" t="s">
        <v>231</v>
      </c>
      <c r="C12" s="97" t="s">
        <v>704</v>
      </c>
      <c r="D12" s="47">
        <v>0</v>
      </c>
      <c r="E12" s="97" t="s">
        <v>562</v>
      </c>
      <c r="F12" s="97" t="s">
        <v>716</v>
      </c>
      <c r="G12" s="97" t="s">
        <v>36</v>
      </c>
      <c r="H12" s="97" t="s">
        <v>37</v>
      </c>
      <c r="I12" s="97" t="s">
        <v>38</v>
      </c>
      <c r="J12" s="97" t="s">
        <v>62</v>
      </c>
      <c r="K12" s="97" t="s">
        <v>63</v>
      </c>
      <c r="L12" s="90">
        <v>45105</v>
      </c>
      <c r="M12" s="90">
        <v>45107</v>
      </c>
      <c r="N12" s="91">
        <f>857.63/2</f>
        <v>428.815</v>
      </c>
      <c r="O12" s="91">
        <f>857.63/2</f>
        <v>428.815</v>
      </c>
      <c r="P12" s="91">
        <f t="shared" si="0"/>
        <v>857.63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7"/>
    </row>
    <row r="13" spans="1:24" s="92" customFormat="1" ht="15">
      <c r="A13" s="97" t="s">
        <v>231</v>
      </c>
      <c r="B13" s="97" t="s">
        <v>462</v>
      </c>
      <c r="C13" s="97" t="s">
        <v>401</v>
      </c>
      <c r="D13" s="47">
        <v>349</v>
      </c>
      <c r="E13" s="97" t="s">
        <v>403</v>
      </c>
      <c r="F13" s="97" t="s">
        <v>717</v>
      </c>
      <c r="G13" s="97" t="s">
        <v>36</v>
      </c>
      <c r="H13" s="97" t="s">
        <v>37</v>
      </c>
      <c r="I13" s="97" t="s">
        <v>38</v>
      </c>
      <c r="J13" s="97" t="s">
        <v>464</v>
      </c>
      <c r="K13" s="97" t="s">
        <v>425</v>
      </c>
      <c r="L13" s="90">
        <v>45076</v>
      </c>
      <c r="M13" s="90">
        <v>45079</v>
      </c>
      <c r="N13" s="91">
        <f>2382.9/2</f>
        <v>1191.45</v>
      </c>
      <c r="O13" s="91">
        <f>2382.9/2</f>
        <v>1191.45</v>
      </c>
      <c r="P13" s="91">
        <f t="shared" si="0"/>
        <v>2382.9</v>
      </c>
      <c r="Q13" s="77">
        <v>4</v>
      </c>
      <c r="R13" s="91">
        <v>120</v>
      </c>
      <c r="S13" s="77">
        <v>0</v>
      </c>
      <c r="T13" s="91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7"/>
    </row>
    <row r="14" spans="1:24" s="92" customFormat="1" ht="45">
      <c r="A14" s="97" t="s">
        <v>253</v>
      </c>
      <c r="B14" s="97" t="s">
        <v>259</v>
      </c>
      <c r="C14" s="97" t="s">
        <v>613</v>
      </c>
      <c r="D14" s="47">
        <v>372</v>
      </c>
      <c r="E14" s="98" t="s">
        <v>191</v>
      </c>
      <c r="F14" s="97" t="s">
        <v>718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45076</v>
      </c>
      <c r="M14" s="90">
        <v>45078</v>
      </c>
      <c r="N14" s="91">
        <f>5019.13/2</f>
        <v>2509.5650000000001</v>
      </c>
      <c r="O14" s="91">
        <f>5019.13/2</f>
        <v>2509.5650000000001</v>
      </c>
      <c r="P14" s="91">
        <f t="shared" si="0"/>
        <v>5019.13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7"/>
    </row>
    <row r="15" spans="1:24" s="92" customFormat="1" ht="15">
      <c r="A15" s="97" t="s">
        <v>231</v>
      </c>
      <c r="B15" s="97" t="s">
        <v>231</v>
      </c>
      <c r="C15" s="97" t="s">
        <v>704</v>
      </c>
      <c r="D15" s="47">
        <v>0</v>
      </c>
      <c r="E15" s="97" t="s">
        <v>562</v>
      </c>
      <c r="F15" s="97" t="s">
        <v>719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45077</v>
      </c>
      <c r="M15" s="90">
        <v>45078</v>
      </c>
      <c r="N15" s="91">
        <f>(5331.47+0.47)/2</f>
        <v>2665.9700000000003</v>
      </c>
      <c r="O15" s="91">
        <f>(5331.47+0.47)/2</f>
        <v>2665.9700000000003</v>
      </c>
      <c r="P15" s="91">
        <f t="shared" si="0"/>
        <v>5331.9400000000005</v>
      </c>
      <c r="Q15" s="77">
        <v>0</v>
      </c>
      <c r="R15" s="91">
        <v>0</v>
      </c>
      <c r="S15" s="77">
        <v>0</v>
      </c>
      <c r="T15" s="91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180" t="s">
        <v>371</v>
      </c>
      <c r="B5" s="180" t="s">
        <v>371</v>
      </c>
      <c r="C5" s="180" t="s">
        <v>79</v>
      </c>
      <c r="D5" s="180">
        <v>0</v>
      </c>
      <c r="E5" s="180" t="s">
        <v>80</v>
      </c>
      <c r="F5" s="180" t="s">
        <v>720</v>
      </c>
      <c r="G5" s="180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165">
        <v>45110</v>
      </c>
      <c r="M5" s="165">
        <v>45111</v>
      </c>
      <c r="N5" s="163">
        <f>3242.09/2</f>
        <v>1621.0450000000001</v>
      </c>
      <c r="O5" s="163">
        <f>3242.09/2</f>
        <v>1621.0450000000001</v>
      </c>
      <c r="P5" s="163">
        <f t="shared" ref="P5:P13" si="0">SUM(N5:O5)</f>
        <v>3242.09</v>
      </c>
      <c r="Q5" s="180">
        <v>0</v>
      </c>
      <c r="R5" s="180">
        <v>0</v>
      </c>
      <c r="S5" s="180">
        <v>0</v>
      </c>
      <c r="T5" s="180">
        <v>0</v>
      </c>
      <c r="U5" s="180">
        <f t="shared" ref="U5:U15" si="1">Q5*R5+S5*T5</f>
        <v>0</v>
      </c>
      <c r="V5" s="157">
        <f t="shared" ref="V5:V13" si="2">P5+U5</f>
        <v>3242.09</v>
      </c>
      <c r="W5" s="157">
        <f t="shared" ref="W5:W13" si="3">V5</f>
        <v>3242.09</v>
      </c>
      <c r="X5" s="180"/>
    </row>
    <row r="6" spans="1:24" s="92" customFormat="1" ht="15">
      <c r="A6" s="181"/>
      <c r="B6" s="181"/>
      <c r="C6" s="181"/>
      <c r="D6" s="181"/>
      <c r="E6" s="181"/>
      <c r="F6" s="181"/>
      <c r="G6" s="181"/>
      <c r="H6" s="97" t="s">
        <v>39</v>
      </c>
      <c r="I6" s="97" t="s">
        <v>40</v>
      </c>
      <c r="J6" s="97" t="s">
        <v>37</v>
      </c>
      <c r="K6" s="97" t="s">
        <v>38</v>
      </c>
      <c r="L6" s="166"/>
      <c r="M6" s="166"/>
      <c r="N6" s="164"/>
      <c r="O6" s="164"/>
      <c r="P6" s="164"/>
      <c r="Q6" s="181"/>
      <c r="R6" s="181"/>
      <c r="S6" s="181"/>
      <c r="T6" s="181"/>
      <c r="U6" s="181"/>
      <c r="V6" s="158"/>
      <c r="W6" s="158"/>
      <c r="X6" s="181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720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45110</v>
      </c>
      <c r="M7" s="90">
        <v>45111</v>
      </c>
      <c r="N7" s="95">
        <f>5098.83/2</f>
        <v>2549.415</v>
      </c>
      <c r="O7" s="95">
        <f>5098.83/2</f>
        <v>2549.415</v>
      </c>
      <c r="P7" s="95">
        <f t="shared" si="0"/>
        <v>5098.83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7"/>
    </row>
    <row r="8" spans="1:24" s="92" customFormat="1" ht="15">
      <c r="A8" s="97" t="s">
        <v>371</v>
      </c>
      <c r="B8" s="97" t="s">
        <v>240</v>
      </c>
      <c r="C8" s="97" t="s">
        <v>140</v>
      </c>
      <c r="D8" s="47">
        <v>230</v>
      </c>
      <c r="E8" s="97" t="s">
        <v>709</v>
      </c>
      <c r="F8" s="97" t="s">
        <v>720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45110</v>
      </c>
      <c r="M8" s="90">
        <v>45111</v>
      </c>
      <c r="N8" s="95">
        <f>5098.83/2</f>
        <v>2549.415</v>
      </c>
      <c r="O8" s="95">
        <f>5098.83/2</f>
        <v>2549.415</v>
      </c>
      <c r="P8" s="95">
        <f t="shared" si="0"/>
        <v>5098.83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7"/>
    </row>
    <row r="9" spans="1:24" s="92" customFormat="1" ht="15">
      <c r="A9" s="97" t="s">
        <v>253</v>
      </c>
      <c r="B9" s="97" t="s">
        <v>212</v>
      </c>
      <c r="C9" s="97" t="s">
        <v>620</v>
      </c>
      <c r="D9" s="47">
        <v>365</v>
      </c>
      <c r="E9" s="97" t="s">
        <v>34</v>
      </c>
      <c r="F9" s="97" t="s">
        <v>721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45134</v>
      </c>
      <c r="M9" s="90">
        <v>45134</v>
      </c>
      <c r="N9" s="95">
        <f>1555.13/2</f>
        <v>777.56500000000005</v>
      </c>
      <c r="O9" s="95">
        <f>1555.13/2</f>
        <v>777.56500000000005</v>
      </c>
      <c r="P9" s="95">
        <f t="shared" si="0"/>
        <v>1555.13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7"/>
    </row>
    <row r="10" spans="1:24" s="92" customFormat="1" ht="15">
      <c r="A10" s="97" t="s">
        <v>253</v>
      </c>
      <c r="B10" s="97" t="s">
        <v>212</v>
      </c>
      <c r="C10" s="97" t="s">
        <v>270</v>
      </c>
      <c r="D10" s="47" t="s">
        <v>168</v>
      </c>
      <c r="E10" s="97" t="s">
        <v>599</v>
      </c>
      <c r="F10" s="97" t="s">
        <v>721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45134</v>
      </c>
      <c r="M10" s="90">
        <v>45134</v>
      </c>
      <c r="N10" s="95">
        <f>3264.36/2</f>
        <v>1632.18</v>
      </c>
      <c r="O10" s="95">
        <f>3264.36/2</f>
        <v>1632.18</v>
      </c>
      <c r="P10" s="95">
        <f t="shared" si="0"/>
        <v>3264.36</v>
      </c>
      <c r="Q10" s="77">
        <v>1</v>
      </c>
      <c r="R10" s="91">
        <v>120</v>
      </c>
      <c r="S10" s="77">
        <v>0</v>
      </c>
      <c r="T10" s="91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7"/>
    </row>
    <row r="11" spans="1:24" s="92" customFormat="1" ht="15">
      <c r="A11" s="97" t="s">
        <v>231</v>
      </c>
      <c r="B11" s="97" t="s">
        <v>231</v>
      </c>
      <c r="C11" s="97" t="s">
        <v>704</v>
      </c>
      <c r="D11" s="47">
        <v>0</v>
      </c>
      <c r="E11" s="97" t="s">
        <v>562</v>
      </c>
      <c r="F11" s="97" t="s">
        <v>722</v>
      </c>
      <c r="G11" s="97" t="s">
        <v>36</v>
      </c>
      <c r="H11" s="97" t="s">
        <v>37</v>
      </c>
      <c r="I11" s="97" t="s">
        <v>38</v>
      </c>
      <c r="J11" s="97" t="s">
        <v>464</v>
      </c>
      <c r="K11" s="97" t="s">
        <v>425</v>
      </c>
      <c r="L11" s="90">
        <v>45118</v>
      </c>
      <c r="M11" s="90">
        <v>45120</v>
      </c>
      <c r="N11" s="95">
        <v>1136.71</v>
      </c>
      <c r="O11" s="95">
        <v>1170.3800000000001</v>
      </c>
      <c r="P11" s="95">
        <f t="shared" si="0"/>
        <v>2307.09</v>
      </c>
      <c r="Q11" s="77">
        <v>0</v>
      </c>
      <c r="R11" s="91">
        <v>0</v>
      </c>
      <c r="S11" s="77">
        <v>0</v>
      </c>
      <c r="T11" s="91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7"/>
    </row>
    <row r="12" spans="1:24" s="92" customFormat="1" ht="30">
      <c r="A12" s="97" t="s">
        <v>231</v>
      </c>
      <c r="B12" s="97" t="s">
        <v>229</v>
      </c>
      <c r="C12" s="97" t="s">
        <v>653</v>
      </c>
      <c r="D12" s="47">
        <v>343</v>
      </c>
      <c r="E12" s="97" t="s">
        <v>723</v>
      </c>
      <c r="F12" s="98" t="s">
        <v>724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90">
        <v>45138</v>
      </c>
      <c r="M12" s="90">
        <v>45139</v>
      </c>
      <c r="N12" s="95">
        <v>0</v>
      </c>
      <c r="O12" s="95">
        <v>0</v>
      </c>
      <c r="P12" s="95">
        <f t="shared" si="0"/>
        <v>0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7"/>
    </row>
    <row r="13" spans="1:24" s="92" customFormat="1" ht="15">
      <c r="A13" s="180" t="s">
        <v>231</v>
      </c>
      <c r="B13" s="180" t="s">
        <v>231</v>
      </c>
      <c r="C13" s="180" t="s">
        <v>704</v>
      </c>
      <c r="D13" s="180">
        <v>0</v>
      </c>
      <c r="E13" s="180" t="s">
        <v>562</v>
      </c>
      <c r="F13" s="180" t="s">
        <v>75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184">
        <v>45138</v>
      </c>
      <c r="M13" s="184">
        <v>45142</v>
      </c>
      <c r="N13" s="163">
        <f>5571.04/3</f>
        <v>1857.0133333333333</v>
      </c>
      <c r="O13" s="163">
        <f>5571.04/3</f>
        <v>1857.0133333333333</v>
      </c>
      <c r="P13" s="163">
        <f t="shared" si="0"/>
        <v>3714.0266666666666</v>
      </c>
      <c r="Q13" s="180">
        <v>0</v>
      </c>
      <c r="R13" s="180">
        <v>0</v>
      </c>
      <c r="S13" s="180">
        <v>0</v>
      </c>
      <c r="T13" s="180">
        <v>0</v>
      </c>
      <c r="U13" s="180">
        <f t="shared" si="1"/>
        <v>0</v>
      </c>
      <c r="V13" s="157">
        <f t="shared" si="2"/>
        <v>3714.0266666666666</v>
      </c>
      <c r="W13" s="157">
        <f t="shared" si="3"/>
        <v>3714.0266666666666</v>
      </c>
      <c r="X13" s="180"/>
    </row>
    <row r="14" spans="1:24" s="92" customFormat="1" ht="15">
      <c r="A14" s="183"/>
      <c r="B14" s="183"/>
      <c r="C14" s="183"/>
      <c r="D14" s="183"/>
      <c r="E14" s="183"/>
      <c r="F14" s="183"/>
      <c r="G14" s="97" t="s">
        <v>36</v>
      </c>
      <c r="H14" s="97" t="s">
        <v>62</v>
      </c>
      <c r="I14" s="97" t="s">
        <v>63</v>
      </c>
      <c r="J14" s="97" t="s">
        <v>210</v>
      </c>
      <c r="K14" s="97" t="s">
        <v>725</v>
      </c>
      <c r="L14" s="183"/>
      <c r="M14" s="183"/>
      <c r="N14" s="167"/>
      <c r="O14" s="167"/>
      <c r="P14" s="167"/>
      <c r="Q14" s="183"/>
      <c r="R14" s="183"/>
      <c r="S14" s="183">
        <v>0</v>
      </c>
      <c r="T14" s="183">
        <v>0</v>
      </c>
      <c r="U14" s="183">
        <f t="shared" si="1"/>
        <v>0</v>
      </c>
      <c r="V14" s="169"/>
      <c r="W14" s="169"/>
      <c r="X14" s="183"/>
    </row>
    <row r="15" spans="1:24" s="92" customFormat="1" ht="15">
      <c r="A15" s="181"/>
      <c r="B15" s="181"/>
      <c r="C15" s="181"/>
      <c r="D15" s="181"/>
      <c r="E15" s="181"/>
      <c r="F15" s="181"/>
      <c r="G15" s="97" t="s">
        <v>36</v>
      </c>
      <c r="H15" s="97" t="s">
        <v>210</v>
      </c>
      <c r="I15" s="97" t="s">
        <v>725</v>
      </c>
      <c r="J15" s="97" t="s">
        <v>37</v>
      </c>
      <c r="K15" s="97" t="s">
        <v>38</v>
      </c>
      <c r="L15" s="181"/>
      <c r="M15" s="181"/>
      <c r="N15" s="164"/>
      <c r="O15" s="164"/>
      <c r="P15" s="164"/>
      <c r="Q15" s="181"/>
      <c r="R15" s="181"/>
      <c r="S15" s="181">
        <v>0</v>
      </c>
      <c r="T15" s="181">
        <v>0</v>
      </c>
      <c r="U15" s="181">
        <f t="shared" si="1"/>
        <v>0</v>
      </c>
      <c r="V15" s="158"/>
      <c r="W15" s="158"/>
      <c r="X15" s="181"/>
    </row>
  </sheetData>
  <mergeCells count="6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T5:T6"/>
    <mergeCell ref="U5:U6"/>
    <mergeCell ref="V5:V6"/>
    <mergeCell ref="W5:W6"/>
    <mergeCell ref="X5:X6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L13:L15"/>
    <mergeCell ref="M13:M15"/>
    <mergeCell ref="N13:N15"/>
    <mergeCell ref="O13:O15"/>
    <mergeCell ref="P13:P15"/>
    <mergeCell ref="W13:W15"/>
    <mergeCell ref="X13:X15"/>
    <mergeCell ref="Q13:Q15"/>
    <mergeCell ref="R13:R15"/>
    <mergeCell ref="T13:T15"/>
    <mergeCell ref="U13:U15"/>
    <mergeCell ref="V13:V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43101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27" t="s">
        <v>52</v>
      </c>
      <c r="B10" s="34" t="s">
        <v>52</v>
      </c>
      <c r="C10" s="34" t="s">
        <v>86</v>
      </c>
      <c r="D10" s="29" t="s">
        <v>107</v>
      </c>
      <c r="E10" s="20" t="s">
        <v>87</v>
      </c>
      <c r="F10" s="34" t="s">
        <v>222</v>
      </c>
      <c r="G10" s="30" t="s">
        <v>36</v>
      </c>
      <c r="H10" s="27" t="s">
        <v>37</v>
      </c>
      <c r="I10" s="27" t="s">
        <v>38</v>
      </c>
      <c r="J10" s="27" t="s">
        <v>148</v>
      </c>
      <c r="K10" s="31" t="s">
        <v>149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>
      <c r="A11" s="27" t="s">
        <v>44</v>
      </c>
      <c r="B11" s="34" t="s">
        <v>44</v>
      </c>
      <c r="C11" s="27" t="s">
        <v>79</v>
      </c>
      <c r="D11" s="29" t="s">
        <v>107</v>
      </c>
      <c r="E11" s="20" t="s">
        <v>80</v>
      </c>
      <c r="F11" s="34" t="s">
        <v>222</v>
      </c>
      <c r="G11" s="30" t="s">
        <v>36</v>
      </c>
      <c r="H11" s="27" t="s">
        <v>37</v>
      </c>
      <c r="I11" s="27" t="s">
        <v>38</v>
      </c>
      <c r="J11" s="27" t="s">
        <v>148</v>
      </c>
      <c r="K11" s="31" t="s">
        <v>149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>
      <c r="A12" s="27" t="s">
        <v>31</v>
      </c>
      <c r="B12" s="34" t="s">
        <v>31</v>
      </c>
      <c r="C12" s="27" t="s">
        <v>223</v>
      </c>
      <c r="D12" s="29" t="s">
        <v>107</v>
      </c>
      <c r="E12" s="20" t="s">
        <v>50</v>
      </c>
      <c r="F12" s="34" t="s">
        <v>224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161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6" sqref="D16:E16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371</v>
      </c>
      <c r="B5" s="97" t="s">
        <v>371</v>
      </c>
      <c r="C5" s="97" t="s">
        <v>137</v>
      </c>
      <c r="D5" s="47">
        <v>202</v>
      </c>
      <c r="E5" s="97" t="s">
        <v>700</v>
      </c>
      <c r="F5" s="97" t="s">
        <v>726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45145</v>
      </c>
      <c r="M5" s="90">
        <v>45146</v>
      </c>
      <c r="N5" s="95">
        <f>1736.83/2</f>
        <v>868.41499999999996</v>
      </c>
      <c r="O5" s="95">
        <f>1736.83/2</f>
        <v>868.41499999999996</v>
      </c>
      <c r="P5" s="95">
        <f t="shared" ref="P5:P18" si="0">SUM(N5:O5)</f>
        <v>1736.83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7"/>
    </row>
    <row r="6" spans="1:24" s="92" customFormat="1" ht="15">
      <c r="A6" s="97" t="s">
        <v>371</v>
      </c>
      <c r="B6" s="97" t="s">
        <v>240</v>
      </c>
      <c r="C6" s="97" t="s">
        <v>448</v>
      </c>
      <c r="D6" s="47">
        <v>336</v>
      </c>
      <c r="E6" s="97" t="s">
        <v>727</v>
      </c>
      <c r="F6" s="97" t="s">
        <v>726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45145</v>
      </c>
      <c r="M6" s="90">
        <v>45146</v>
      </c>
      <c r="N6" s="95">
        <f t="shared" ref="N6:O7" si="4">1736.83/2</f>
        <v>868.41499999999996</v>
      </c>
      <c r="O6" s="95">
        <f t="shared" si="4"/>
        <v>868.41499999999996</v>
      </c>
      <c r="P6" s="95">
        <f t="shared" si="0"/>
        <v>1736.83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7"/>
    </row>
    <row r="7" spans="1:24" s="92" customFormat="1" ht="15">
      <c r="A7" s="97" t="s">
        <v>371</v>
      </c>
      <c r="B7" s="97" t="s">
        <v>240</v>
      </c>
      <c r="C7" s="97" t="s">
        <v>140</v>
      </c>
      <c r="D7" s="47">
        <v>230</v>
      </c>
      <c r="E7" s="97" t="s">
        <v>709</v>
      </c>
      <c r="F7" s="97" t="s">
        <v>726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45145</v>
      </c>
      <c r="M7" s="90">
        <v>45146</v>
      </c>
      <c r="N7" s="95">
        <f t="shared" si="4"/>
        <v>868.41499999999996</v>
      </c>
      <c r="O7" s="95">
        <f t="shared" si="4"/>
        <v>868.41499999999996</v>
      </c>
      <c r="P7" s="95">
        <f t="shared" si="0"/>
        <v>1736.83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7"/>
    </row>
    <row r="8" spans="1:24" s="92" customFormat="1" ht="15">
      <c r="A8" s="97" t="s">
        <v>253</v>
      </c>
      <c r="B8" s="97" t="s">
        <v>253</v>
      </c>
      <c r="C8" s="97" t="s">
        <v>387</v>
      </c>
      <c r="D8" s="47">
        <v>0</v>
      </c>
      <c r="E8" s="97" t="s">
        <v>50</v>
      </c>
      <c r="F8" s="97" t="s">
        <v>728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45146</v>
      </c>
      <c r="M8" s="90">
        <v>45147</v>
      </c>
      <c r="N8" s="95">
        <f>1736.83/2</f>
        <v>868.41499999999996</v>
      </c>
      <c r="O8" s="95">
        <f>1736.83/2</f>
        <v>868.41499999999996</v>
      </c>
      <c r="P8" s="95">
        <f t="shared" si="0"/>
        <v>1736.83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7"/>
    </row>
    <row r="9" spans="1:24" s="92" customFormat="1" ht="15">
      <c r="A9" s="97" t="s">
        <v>253</v>
      </c>
      <c r="B9" s="97" t="s">
        <v>253</v>
      </c>
      <c r="C9" s="97" t="s">
        <v>675</v>
      </c>
      <c r="D9" s="47">
        <v>383</v>
      </c>
      <c r="E9" s="97" t="s">
        <v>698</v>
      </c>
      <c r="F9" s="97" t="s">
        <v>728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45146</v>
      </c>
      <c r="M9" s="90">
        <v>45147</v>
      </c>
      <c r="N9" s="95">
        <f>4101.45/2</f>
        <v>2050.7249999999999</v>
      </c>
      <c r="O9" s="95">
        <f>4101.45/2</f>
        <v>2050.7249999999999</v>
      </c>
      <c r="P9" s="95">
        <f t="shared" si="0"/>
        <v>4101.45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7"/>
    </row>
    <row r="10" spans="1:24" s="92" customFormat="1" ht="15">
      <c r="A10" s="97" t="s">
        <v>231</v>
      </c>
      <c r="B10" s="97" t="s">
        <v>229</v>
      </c>
      <c r="C10" s="97" t="s">
        <v>729</v>
      </c>
      <c r="D10" s="47">
        <v>387</v>
      </c>
      <c r="E10" s="97" t="s">
        <v>248</v>
      </c>
      <c r="F10" s="97" t="s">
        <v>730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90">
        <v>45139</v>
      </c>
      <c r="M10" s="90">
        <v>45140</v>
      </c>
      <c r="N10" s="95">
        <f>2261.71/2</f>
        <v>1130.855</v>
      </c>
      <c r="O10" s="95">
        <f>2261.71/2</f>
        <v>1130.855</v>
      </c>
      <c r="P10" s="95">
        <f t="shared" si="0"/>
        <v>2261.71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7"/>
    </row>
    <row r="11" spans="1:24" s="92" customFormat="1" ht="15">
      <c r="A11" s="97" t="s">
        <v>231</v>
      </c>
      <c r="B11" s="97" t="s">
        <v>229</v>
      </c>
      <c r="C11" s="97" t="s">
        <v>731</v>
      </c>
      <c r="D11" s="47">
        <v>390</v>
      </c>
      <c r="E11" s="97" t="s">
        <v>120</v>
      </c>
      <c r="F11" s="97" t="s">
        <v>730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90">
        <v>45139</v>
      </c>
      <c r="M11" s="90">
        <v>45140</v>
      </c>
      <c r="N11" s="95">
        <f>3504.47/2</f>
        <v>1752.2349999999999</v>
      </c>
      <c r="O11" s="95">
        <f>3504.47/2</f>
        <v>1752.2349999999999</v>
      </c>
      <c r="P11" s="95">
        <f t="shared" si="0"/>
        <v>3504.47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7"/>
    </row>
    <row r="12" spans="1:24" s="92" customFormat="1" ht="15">
      <c r="A12" s="97" t="s">
        <v>371</v>
      </c>
      <c r="B12" s="97" t="s">
        <v>371</v>
      </c>
      <c r="C12" s="97" t="s">
        <v>79</v>
      </c>
      <c r="D12" s="47">
        <v>0</v>
      </c>
      <c r="E12" s="97" t="s">
        <v>80</v>
      </c>
      <c r="F12" s="97" t="s">
        <v>728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90">
        <v>45146</v>
      </c>
      <c r="M12" s="90">
        <v>45148</v>
      </c>
      <c r="N12" s="95">
        <f>2023.5/2</f>
        <v>1011.75</v>
      </c>
      <c r="O12" s="95">
        <f>2023.5/2</f>
        <v>1011.75</v>
      </c>
      <c r="P12" s="95">
        <f t="shared" si="0"/>
        <v>2023.5</v>
      </c>
      <c r="Q12" s="77">
        <v>0</v>
      </c>
      <c r="R12" s="91">
        <v>120</v>
      </c>
      <c r="S12" s="77">
        <v>0</v>
      </c>
      <c r="T12" s="91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7"/>
    </row>
    <row r="13" spans="1:24" s="92" customFormat="1" ht="15">
      <c r="A13" s="97" t="s">
        <v>253</v>
      </c>
      <c r="B13" s="97" t="s">
        <v>253</v>
      </c>
      <c r="C13" s="97" t="s">
        <v>387</v>
      </c>
      <c r="D13" s="47">
        <v>0</v>
      </c>
      <c r="E13" s="97" t="s">
        <v>50</v>
      </c>
      <c r="F13" s="97" t="s">
        <v>732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733</v>
      </c>
      <c r="L13" s="90">
        <v>45155</v>
      </c>
      <c r="M13" s="90">
        <v>45156</v>
      </c>
      <c r="N13" s="95">
        <f>2404.66/2</f>
        <v>1202.33</v>
      </c>
      <c r="O13" s="95">
        <f>2404.66/2</f>
        <v>1202.33</v>
      </c>
      <c r="P13" s="95">
        <f t="shared" si="0"/>
        <v>2404.66</v>
      </c>
      <c r="Q13" s="77">
        <v>0</v>
      </c>
      <c r="R13" s="91">
        <v>120</v>
      </c>
      <c r="S13" s="77">
        <v>0</v>
      </c>
      <c r="T13" s="91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7"/>
    </row>
    <row r="14" spans="1:24" s="92" customFormat="1" ht="15">
      <c r="A14" s="97" t="s">
        <v>253</v>
      </c>
      <c r="B14" s="97" t="s">
        <v>253</v>
      </c>
      <c r="C14" s="97" t="s">
        <v>675</v>
      </c>
      <c r="D14" s="47">
        <v>383</v>
      </c>
      <c r="E14" s="97" t="s">
        <v>698</v>
      </c>
      <c r="F14" s="97" t="s">
        <v>732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733</v>
      </c>
      <c r="L14" s="90">
        <v>45155</v>
      </c>
      <c r="M14" s="90">
        <v>45156</v>
      </c>
      <c r="N14" s="95">
        <f>2404.66/2</f>
        <v>1202.33</v>
      </c>
      <c r="O14" s="95">
        <f>2404.66/2</f>
        <v>1202.33</v>
      </c>
      <c r="P14" s="95">
        <f t="shared" si="0"/>
        <v>2404.66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7"/>
    </row>
    <row r="15" spans="1:24" s="92" customFormat="1" ht="15">
      <c r="A15" s="97" t="s">
        <v>253</v>
      </c>
      <c r="B15" s="97" t="s">
        <v>212</v>
      </c>
      <c r="C15" s="97" t="s">
        <v>620</v>
      </c>
      <c r="D15" s="47">
        <v>365</v>
      </c>
      <c r="E15" s="97" t="s">
        <v>34</v>
      </c>
      <c r="F15" s="97" t="s">
        <v>734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45152</v>
      </c>
      <c r="M15" s="90">
        <v>45152</v>
      </c>
      <c r="N15" s="95">
        <f>1248.3/2</f>
        <v>624.15</v>
      </c>
      <c r="O15" s="95">
        <f>1248.3/2</f>
        <v>624.15</v>
      </c>
      <c r="P15" s="95">
        <f t="shared" si="0"/>
        <v>1248.3</v>
      </c>
      <c r="Q15" s="77">
        <v>1</v>
      </c>
      <c r="R15" s="91">
        <v>120</v>
      </c>
      <c r="S15" s="77">
        <v>0</v>
      </c>
      <c r="T15" s="91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7"/>
    </row>
    <row r="16" spans="1:24" s="92" customFormat="1" ht="15">
      <c r="A16" s="97" t="s">
        <v>253</v>
      </c>
      <c r="B16" s="97" t="s">
        <v>212</v>
      </c>
      <c r="C16" s="97" t="s">
        <v>270</v>
      </c>
      <c r="D16" s="47" t="s">
        <v>168</v>
      </c>
      <c r="E16" s="97" t="s">
        <v>599</v>
      </c>
      <c r="F16" s="97" t="s">
        <v>734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391</v>
      </c>
      <c r="L16" s="90">
        <v>45152</v>
      </c>
      <c r="M16" s="90">
        <v>45152</v>
      </c>
      <c r="N16" s="95">
        <f>1248.3/2</f>
        <v>624.15</v>
      </c>
      <c r="O16" s="95">
        <f>1248.3/2</f>
        <v>624.15</v>
      </c>
      <c r="P16" s="95">
        <f t="shared" si="0"/>
        <v>1248.3</v>
      </c>
      <c r="Q16" s="77">
        <v>1</v>
      </c>
      <c r="R16" s="91">
        <v>120</v>
      </c>
      <c r="S16" s="77">
        <v>0</v>
      </c>
      <c r="T16" s="91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7"/>
    </row>
    <row r="17" spans="1:24" s="92" customFormat="1" ht="15">
      <c r="A17" s="97" t="s">
        <v>231</v>
      </c>
      <c r="B17" s="97" t="s">
        <v>221</v>
      </c>
      <c r="C17" s="97" t="s">
        <v>54</v>
      </c>
      <c r="D17" s="47">
        <v>56</v>
      </c>
      <c r="E17" s="97" t="s">
        <v>610</v>
      </c>
      <c r="F17" s="97" t="s">
        <v>735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90">
        <v>45161</v>
      </c>
      <c r="M17" s="90">
        <v>45162</v>
      </c>
      <c r="N17" s="95">
        <f>3442.83/2</f>
        <v>1721.415</v>
      </c>
      <c r="O17" s="95">
        <f>3442.83/2</f>
        <v>1721.415</v>
      </c>
      <c r="P17" s="95">
        <f t="shared" si="0"/>
        <v>3442.83</v>
      </c>
      <c r="Q17" s="77">
        <v>0</v>
      </c>
      <c r="R17" s="91">
        <v>120</v>
      </c>
      <c r="S17" s="77">
        <v>0</v>
      </c>
      <c r="T17" s="91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7"/>
    </row>
    <row r="18" spans="1:24" s="92" customFormat="1" ht="15">
      <c r="A18" s="97" t="s">
        <v>253</v>
      </c>
      <c r="B18" s="97" t="s">
        <v>253</v>
      </c>
      <c r="C18" s="97" t="s">
        <v>387</v>
      </c>
      <c r="D18" s="47">
        <v>0</v>
      </c>
      <c r="E18" s="97" t="s">
        <v>50</v>
      </c>
      <c r="F18" s="97" t="s">
        <v>735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90">
        <v>45161</v>
      </c>
      <c r="M18" s="90">
        <v>45162</v>
      </c>
      <c r="N18" s="95">
        <f>3442.83/2</f>
        <v>1721.415</v>
      </c>
      <c r="O18" s="95">
        <f>3442.83/2</f>
        <v>1721.415</v>
      </c>
      <c r="P18" s="95">
        <f t="shared" si="0"/>
        <v>3442.83</v>
      </c>
      <c r="Q18" s="77">
        <v>0</v>
      </c>
      <c r="R18" s="91">
        <v>120</v>
      </c>
      <c r="S18" s="77">
        <v>0</v>
      </c>
      <c r="T18" s="91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371</v>
      </c>
      <c r="B5" s="185" t="s">
        <v>240</v>
      </c>
      <c r="C5" s="97" t="s">
        <v>448</v>
      </c>
      <c r="D5" s="47">
        <v>336</v>
      </c>
      <c r="E5" s="97" t="s">
        <v>727</v>
      </c>
      <c r="F5" s="97" t="s">
        <v>736</v>
      </c>
      <c r="G5" s="97" t="s">
        <v>36</v>
      </c>
      <c r="H5" s="97" t="s">
        <v>37</v>
      </c>
      <c r="I5" s="97" t="s">
        <v>38</v>
      </c>
      <c r="J5" s="97" t="s">
        <v>199</v>
      </c>
      <c r="K5" s="97" t="s">
        <v>200</v>
      </c>
      <c r="L5" s="90">
        <v>45194</v>
      </c>
      <c r="M5" s="90">
        <v>45197</v>
      </c>
      <c r="N5" s="95">
        <f>4105.03/2</f>
        <v>2052.5149999999999</v>
      </c>
      <c r="O5" s="95">
        <f>4105.03/2</f>
        <v>2052.5149999999999</v>
      </c>
      <c r="P5" s="95">
        <f t="shared" ref="P5:P24" si="0">SUM(N5:O5)</f>
        <v>4105.03</v>
      </c>
      <c r="Q5" s="77">
        <v>4</v>
      </c>
      <c r="R5" s="91">
        <v>120</v>
      </c>
      <c r="S5" s="77">
        <v>0</v>
      </c>
      <c r="T5" s="91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7"/>
    </row>
    <row r="6" spans="1:24" s="92" customFormat="1" ht="15">
      <c r="A6" s="97" t="s">
        <v>371</v>
      </c>
      <c r="B6" s="185" t="s">
        <v>240</v>
      </c>
      <c r="C6" s="97" t="s">
        <v>737</v>
      </c>
      <c r="D6" s="47">
        <v>361</v>
      </c>
      <c r="E6" s="97" t="s">
        <v>60</v>
      </c>
      <c r="F6" s="97" t="s">
        <v>736</v>
      </c>
      <c r="G6" s="97" t="s">
        <v>36</v>
      </c>
      <c r="H6" s="97" t="s">
        <v>37</v>
      </c>
      <c r="I6" s="97" t="s">
        <v>38</v>
      </c>
      <c r="J6" s="97" t="s">
        <v>199</v>
      </c>
      <c r="K6" s="97" t="s">
        <v>200</v>
      </c>
      <c r="L6" s="90">
        <v>45194</v>
      </c>
      <c r="M6" s="90">
        <v>45197</v>
      </c>
      <c r="N6" s="95">
        <f>4105.03/2</f>
        <v>2052.5149999999999</v>
      </c>
      <c r="O6" s="95">
        <f>4105.03/2</f>
        <v>2052.5149999999999</v>
      </c>
      <c r="P6" s="95">
        <f t="shared" si="0"/>
        <v>4105.03</v>
      </c>
      <c r="Q6" s="77">
        <v>4</v>
      </c>
      <c r="R6" s="91">
        <v>12</v>
      </c>
      <c r="S6" s="77">
        <v>0</v>
      </c>
      <c r="T6" s="91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>
        <v>0</v>
      </c>
      <c r="E7" s="97" t="s">
        <v>50</v>
      </c>
      <c r="F7" s="97" t="s">
        <v>738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45181</v>
      </c>
      <c r="M7" s="90">
        <v>45184</v>
      </c>
      <c r="N7" s="95">
        <f>1429/2</f>
        <v>714.5</v>
      </c>
      <c r="O7" s="95">
        <f>1429/2</f>
        <v>714.5</v>
      </c>
      <c r="P7" s="95">
        <f t="shared" si="0"/>
        <v>1429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7"/>
    </row>
    <row r="8" spans="1:24" s="92" customFormat="1" ht="15">
      <c r="A8" s="97" t="s">
        <v>253</v>
      </c>
      <c r="B8" s="97" t="s">
        <v>253</v>
      </c>
      <c r="C8" s="97" t="s">
        <v>675</v>
      </c>
      <c r="D8" s="47">
        <v>383</v>
      </c>
      <c r="E8" s="97" t="s">
        <v>698</v>
      </c>
      <c r="F8" s="97" t="s">
        <v>738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45181</v>
      </c>
      <c r="M8" s="90">
        <v>45184</v>
      </c>
      <c r="N8" s="95">
        <f>1478.4/2</f>
        <v>739.2</v>
      </c>
      <c r="O8" s="95">
        <f>1478.4/2</f>
        <v>739.2</v>
      </c>
      <c r="P8" s="95">
        <f t="shared" si="0"/>
        <v>1478.4</v>
      </c>
      <c r="Q8" s="77">
        <v>4</v>
      </c>
      <c r="R8" s="91">
        <v>120</v>
      </c>
      <c r="S8" s="77">
        <v>0</v>
      </c>
      <c r="T8" s="91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7"/>
    </row>
    <row r="9" spans="1:24" s="92" customFormat="1" ht="1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97" t="s">
        <v>738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45181</v>
      </c>
      <c r="M9" s="90">
        <v>45184</v>
      </c>
      <c r="N9" s="95">
        <v>2248.3000000000002</v>
      </c>
      <c r="O9" s="95">
        <v>1000</v>
      </c>
      <c r="P9" s="95">
        <f t="shared" si="0"/>
        <v>3248.3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7"/>
    </row>
    <row r="10" spans="1:24" s="92" customFormat="1" ht="15">
      <c r="A10" s="97" t="s">
        <v>231</v>
      </c>
      <c r="B10" s="97" t="s">
        <v>241</v>
      </c>
      <c r="C10" s="97" t="s">
        <v>701</v>
      </c>
      <c r="D10" s="47">
        <v>394</v>
      </c>
      <c r="E10" s="97" t="s">
        <v>702</v>
      </c>
      <c r="F10" s="97" t="s">
        <v>738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45181</v>
      </c>
      <c r="M10" s="90">
        <v>45184</v>
      </c>
      <c r="N10" s="95">
        <f>1292.4/2</f>
        <v>646.20000000000005</v>
      </c>
      <c r="O10" s="95">
        <f>1292.4/2</f>
        <v>646.20000000000005</v>
      </c>
      <c r="P10" s="95">
        <f t="shared" si="0"/>
        <v>1292.4000000000001</v>
      </c>
      <c r="Q10" s="77">
        <v>4</v>
      </c>
      <c r="R10" s="91">
        <v>120</v>
      </c>
      <c r="S10" s="77">
        <v>0</v>
      </c>
      <c r="T10" s="91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7"/>
    </row>
    <row r="11" spans="1:24" s="92" customFormat="1" ht="15">
      <c r="A11" s="97" t="s">
        <v>231</v>
      </c>
      <c r="B11" s="97" t="s">
        <v>229</v>
      </c>
      <c r="C11" s="97" t="s">
        <v>731</v>
      </c>
      <c r="D11" s="47">
        <v>390</v>
      </c>
      <c r="E11" s="97" t="s">
        <v>120</v>
      </c>
      <c r="F11" s="97" t="s">
        <v>738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90">
        <v>45181</v>
      </c>
      <c r="M11" s="90">
        <v>45184</v>
      </c>
      <c r="N11" s="95">
        <f>1292.4/2</f>
        <v>646.20000000000005</v>
      </c>
      <c r="O11" s="95">
        <f>1292.4/2</f>
        <v>646.20000000000005</v>
      </c>
      <c r="P11" s="95">
        <f t="shared" si="0"/>
        <v>1292.4000000000001</v>
      </c>
      <c r="Q11" s="77">
        <v>4</v>
      </c>
      <c r="R11" s="91">
        <v>120</v>
      </c>
      <c r="S11" s="77">
        <v>0</v>
      </c>
      <c r="T11" s="91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7"/>
    </row>
    <row r="12" spans="1:24" s="92" customFormat="1" ht="15">
      <c r="A12" s="97" t="s">
        <v>253</v>
      </c>
      <c r="B12" s="97" t="s">
        <v>253</v>
      </c>
      <c r="C12" s="97" t="s">
        <v>387</v>
      </c>
      <c r="D12" s="47">
        <v>0</v>
      </c>
      <c r="E12" s="97" t="s">
        <v>50</v>
      </c>
      <c r="F12" s="97" t="s">
        <v>739</v>
      </c>
      <c r="G12" s="97" t="s">
        <v>36</v>
      </c>
      <c r="H12" s="97" t="s">
        <v>37</v>
      </c>
      <c r="I12" s="97" t="s">
        <v>38</v>
      </c>
      <c r="J12" s="97" t="s">
        <v>39</v>
      </c>
      <c r="K12" s="97" t="s">
        <v>40</v>
      </c>
      <c r="L12" s="90">
        <v>45187</v>
      </c>
      <c r="M12" s="90">
        <v>45188</v>
      </c>
      <c r="N12" s="95">
        <f>1582.83/2</f>
        <v>791.41499999999996</v>
      </c>
      <c r="O12" s="95">
        <f>1582.83/2</f>
        <v>791.41499999999996</v>
      </c>
      <c r="P12" s="95">
        <f t="shared" si="0"/>
        <v>1582.83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7"/>
    </row>
    <row r="13" spans="1:24" s="92" customFormat="1" ht="15">
      <c r="A13" s="97" t="s">
        <v>253</v>
      </c>
      <c r="B13" s="97" t="s">
        <v>212</v>
      </c>
      <c r="C13" s="97" t="s">
        <v>404</v>
      </c>
      <c r="D13" s="47">
        <v>345</v>
      </c>
      <c r="E13" s="97" t="s">
        <v>406</v>
      </c>
      <c r="F13" s="97" t="s">
        <v>739</v>
      </c>
      <c r="G13" s="97" t="s">
        <v>36</v>
      </c>
      <c r="H13" s="97" t="s">
        <v>37</v>
      </c>
      <c r="I13" s="97" t="s">
        <v>38</v>
      </c>
      <c r="J13" s="97" t="s">
        <v>39</v>
      </c>
      <c r="K13" s="97" t="s">
        <v>40</v>
      </c>
      <c r="L13" s="90">
        <v>45187</v>
      </c>
      <c r="M13" s="90">
        <v>45188</v>
      </c>
      <c r="N13" s="95">
        <f>1758.83/2</f>
        <v>879.41499999999996</v>
      </c>
      <c r="O13" s="95">
        <f>1758.83/2</f>
        <v>879.41499999999996</v>
      </c>
      <c r="P13" s="95">
        <f t="shared" si="0"/>
        <v>1758.83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7"/>
    </row>
    <row r="14" spans="1:24" s="92" customFormat="1" ht="15">
      <c r="A14" s="97" t="s">
        <v>253</v>
      </c>
      <c r="B14" s="97" t="s">
        <v>322</v>
      </c>
      <c r="C14" s="97" t="s">
        <v>323</v>
      </c>
      <c r="D14" s="47">
        <v>204</v>
      </c>
      <c r="E14" s="97" t="s">
        <v>652</v>
      </c>
      <c r="F14" s="97" t="s">
        <v>740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414</v>
      </c>
      <c r="L14" s="90">
        <v>45188</v>
      </c>
      <c r="M14" s="90">
        <v>45189</v>
      </c>
      <c r="N14" s="95">
        <f>1507.43/2</f>
        <v>753.71500000000003</v>
      </c>
      <c r="O14" s="95">
        <f>1507.43/2</f>
        <v>753.71500000000003</v>
      </c>
      <c r="P14" s="95">
        <f t="shared" si="0"/>
        <v>1507.43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7"/>
    </row>
    <row r="15" spans="1:24" s="92" customFormat="1" ht="15">
      <c r="A15" s="97" t="s">
        <v>371</v>
      </c>
      <c r="B15" s="97" t="s">
        <v>371</v>
      </c>
      <c r="C15" s="97" t="s">
        <v>137</v>
      </c>
      <c r="D15" s="47">
        <v>202</v>
      </c>
      <c r="E15" s="97" t="s">
        <v>700</v>
      </c>
      <c r="F15" s="97" t="s">
        <v>741</v>
      </c>
      <c r="G15" s="97" t="s">
        <v>36</v>
      </c>
      <c r="H15" s="97" t="s">
        <v>37</v>
      </c>
      <c r="I15" s="97" t="s">
        <v>38</v>
      </c>
      <c r="J15" s="97" t="s">
        <v>39</v>
      </c>
      <c r="K15" s="97" t="s">
        <v>40</v>
      </c>
      <c r="L15" s="90">
        <v>45181</v>
      </c>
      <c r="M15" s="90">
        <v>45182</v>
      </c>
      <c r="N15" s="95">
        <f>3435.31/2</f>
        <v>1717.655</v>
      </c>
      <c r="O15" s="95">
        <f>3435.31/2</f>
        <v>1717.655</v>
      </c>
      <c r="P15" s="95">
        <f t="shared" si="0"/>
        <v>3435.31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7"/>
    </row>
    <row r="16" spans="1:24" s="92" customFormat="1" ht="15">
      <c r="A16" s="97" t="s">
        <v>231</v>
      </c>
      <c r="B16" s="97" t="s">
        <v>221</v>
      </c>
      <c r="C16" s="97" t="s">
        <v>54</v>
      </c>
      <c r="D16" s="47">
        <v>56</v>
      </c>
      <c r="E16" s="97" t="s">
        <v>610</v>
      </c>
      <c r="F16" s="97" t="s">
        <v>742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90">
        <v>45173</v>
      </c>
      <c r="M16" s="90">
        <v>45174</v>
      </c>
      <c r="N16" s="95">
        <f>3863.08/2</f>
        <v>1931.54</v>
      </c>
      <c r="O16" s="95">
        <f>3863.08/2</f>
        <v>1931.54</v>
      </c>
      <c r="P16" s="95">
        <f t="shared" si="0"/>
        <v>3863.08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7"/>
    </row>
    <row r="17" spans="1:24" s="92" customFormat="1" ht="15">
      <c r="A17" s="97" t="s">
        <v>231</v>
      </c>
      <c r="B17" s="97" t="s">
        <v>229</v>
      </c>
      <c r="C17" s="97" t="s">
        <v>65</v>
      </c>
      <c r="D17" s="47">
        <v>195</v>
      </c>
      <c r="E17" s="97" t="s">
        <v>743</v>
      </c>
      <c r="F17" s="97" t="s">
        <v>744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391</v>
      </c>
      <c r="L17" s="90">
        <v>45180</v>
      </c>
      <c r="M17" s="90">
        <v>45181</v>
      </c>
      <c r="N17" s="95">
        <f>2142.13/2</f>
        <v>1071.0650000000001</v>
      </c>
      <c r="O17" s="95">
        <f>2142.13/2</f>
        <v>1071.0650000000001</v>
      </c>
      <c r="P17" s="95">
        <f t="shared" si="0"/>
        <v>2142.13</v>
      </c>
      <c r="Q17" s="77">
        <v>2</v>
      </c>
      <c r="R17" s="91">
        <v>120</v>
      </c>
      <c r="S17" s="77">
        <v>0</v>
      </c>
      <c r="T17" s="91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7"/>
    </row>
    <row r="18" spans="1:24" s="92" customFormat="1" ht="15">
      <c r="A18" s="97" t="s">
        <v>371</v>
      </c>
      <c r="B18" s="97" t="s">
        <v>226</v>
      </c>
      <c r="C18" s="97" t="s">
        <v>46</v>
      </c>
      <c r="D18" s="47">
        <v>232</v>
      </c>
      <c r="E18" s="97" t="s">
        <v>47</v>
      </c>
      <c r="F18" s="97" t="s">
        <v>745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90">
        <v>45189</v>
      </c>
      <c r="M18" s="90">
        <v>45190</v>
      </c>
      <c r="N18" s="95">
        <f>2455.83/2</f>
        <v>1227.915</v>
      </c>
      <c r="O18" s="95">
        <f>2455.83/2</f>
        <v>1227.915</v>
      </c>
      <c r="P18" s="95">
        <f t="shared" si="0"/>
        <v>2455.83</v>
      </c>
      <c r="Q18" s="77">
        <v>2</v>
      </c>
      <c r="R18" s="91">
        <v>120</v>
      </c>
      <c r="S18" s="77">
        <v>0</v>
      </c>
      <c r="T18" s="91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7"/>
    </row>
    <row r="19" spans="1:24" s="92" customFormat="1" ht="15">
      <c r="A19" s="97" t="s">
        <v>231</v>
      </c>
      <c r="B19" s="97" t="s">
        <v>215</v>
      </c>
      <c r="C19" s="97" t="s">
        <v>746</v>
      </c>
      <c r="D19" s="47">
        <v>386</v>
      </c>
      <c r="E19" s="97" t="s">
        <v>218</v>
      </c>
      <c r="F19" s="97" t="s">
        <v>747</v>
      </c>
      <c r="G19" s="97" t="s">
        <v>36</v>
      </c>
      <c r="H19" s="97" t="s">
        <v>37</v>
      </c>
      <c r="I19" s="97" t="s">
        <v>38</v>
      </c>
      <c r="J19" s="97" t="s">
        <v>39</v>
      </c>
      <c r="K19" s="97" t="s">
        <v>40</v>
      </c>
      <c r="L19" s="90">
        <v>45187</v>
      </c>
      <c r="M19" s="90">
        <v>45188</v>
      </c>
      <c r="N19" s="95">
        <f>3131.42/2</f>
        <v>1565.71</v>
      </c>
      <c r="O19" s="95">
        <f>3131.42/2</f>
        <v>1565.71</v>
      </c>
      <c r="P19" s="95">
        <f t="shared" si="0"/>
        <v>3131.42</v>
      </c>
      <c r="Q19" s="77">
        <v>2</v>
      </c>
      <c r="R19" s="91">
        <v>120</v>
      </c>
      <c r="S19" s="77">
        <v>0</v>
      </c>
      <c r="T19" s="91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7"/>
    </row>
    <row r="20" spans="1:24" s="92" customFormat="1" ht="15">
      <c r="A20" s="97" t="s">
        <v>371</v>
      </c>
      <c r="B20" s="185" t="s">
        <v>240</v>
      </c>
      <c r="C20" s="97" t="s">
        <v>140</v>
      </c>
      <c r="D20" s="47">
        <v>230</v>
      </c>
      <c r="E20" s="97" t="s">
        <v>709</v>
      </c>
      <c r="F20" s="97" t="s">
        <v>748</v>
      </c>
      <c r="G20" s="97" t="s">
        <v>36</v>
      </c>
      <c r="H20" s="97" t="s">
        <v>37</v>
      </c>
      <c r="I20" s="97" t="s">
        <v>38</v>
      </c>
      <c r="J20" s="97" t="s">
        <v>39</v>
      </c>
      <c r="K20" s="97" t="s">
        <v>40</v>
      </c>
      <c r="L20" s="90">
        <v>45186</v>
      </c>
      <c r="M20" s="90">
        <v>45188</v>
      </c>
      <c r="N20" s="95">
        <f>(3131.42+375)/2</f>
        <v>1753.21</v>
      </c>
      <c r="O20" s="95">
        <f>(3131.42+375)/2</f>
        <v>1753.21</v>
      </c>
      <c r="P20" s="95">
        <f t="shared" si="0"/>
        <v>3506.42</v>
      </c>
      <c r="Q20" s="77">
        <v>3</v>
      </c>
      <c r="R20" s="91">
        <v>120</v>
      </c>
      <c r="S20" s="77">
        <v>0</v>
      </c>
      <c r="T20" s="91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7"/>
    </row>
    <row r="21" spans="1:24" s="92" customFormat="1" ht="15">
      <c r="A21" s="97" t="s">
        <v>231</v>
      </c>
      <c r="B21" s="97" t="s">
        <v>229</v>
      </c>
      <c r="C21" s="97" t="s">
        <v>173</v>
      </c>
      <c r="D21" s="47">
        <v>127</v>
      </c>
      <c r="E21" s="97" t="s">
        <v>749</v>
      </c>
      <c r="F21" s="97" t="s">
        <v>750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391</v>
      </c>
      <c r="L21" s="90">
        <v>45180</v>
      </c>
      <c r="M21" s="90">
        <v>45181</v>
      </c>
      <c r="N21" s="95">
        <f>2142.13/2</f>
        <v>1071.0650000000001</v>
      </c>
      <c r="O21" s="95">
        <f>2142.13/2</f>
        <v>1071.0650000000001</v>
      </c>
      <c r="P21" s="95">
        <f t="shared" si="0"/>
        <v>2142.13</v>
      </c>
      <c r="Q21" s="77">
        <v>2</v>
      </c>
      <c r="R21" s="91">
        <v>120</v>
      </c>
      <c r="S21" s="77">
        <v>0</v>
      </c>
      <c r="T21" s="91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7"/>
    </row>
    <row r="22" spans="1:24" s="92" customFormat="1" ht="15">
      <c r="A22" s="97" t="s">
        <v>231</v>
      </c>
      <c r="B22" s="97" t="s">
        <v>231</v>
      </c>
      <c r="C22" s="97" t="s">
        <v>704</v>
      </c>
      <c r="D22" s="47">
        <v>0</v>
      </c>
      <c r="E22" s="97" t="s">
        <v>562</v>
      </c>
      <c r="F22" s="97" t="s">
        <v>75</v>
      </c>
      <c r="G22" s="97" t="s">
        <v>36</v>
      </c>
      <c r="H22" s="97" t="s">
        <v>37</v>
      </c>
      <c r="I22" s="97" t="s">
        <v>38</v>
      </c>
      <c r="J22" s="97" t="s">
        <v>464</v>
      </c>
      <c r="K22" s="97" t="s">
        <v>425</v>
      </c>
      <c r="L22" s="90">
        <v>45179</v>
      </c>
      <c r="M22" s="90">
        <v>45180</v>
      </c>
      <c r="N22" s="95">
        <f>5340.73/2</f>
        <v>2670.3649999999998</v>
      </c>
      <c r="O22" s="95">
        <f>5340.73/2</f>
        <v>2670.3649999999998</v>
      </c>
      <c r="P22" s="95">
        <f t="shared" si="0"/>
        <v>5340.73</v>
      </c>
      <c r="Q22" s="77">
        <v>0</v>
      </c>
      <c r="R22" s="91">
        <v>0</v>
      </c>
      <c r="S22" s="77">
        <v>0</v>
      </c>
      <c r="T22" s="91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7"/>
    </row>
    <row r="23" spans="1:24" s="92" customFormat="1" ht="15">
      <c r="A23" s="97" t="s">
        <v>231</v>
      </c>
      <c r="B23" s="97" t="s">
        <v>231</v>
      </c>
      <c r="C23" s="97" t="s">
        <v>704</v>
      </c>
      <c r="D23" s="47">
        <v>0</v>
      </c>
      <c r="E23" s="97" t="s">
        <v>562</v>
      </c>
      <c r="F23" s="97" t="s">
        <v>751</v>
      </c>
      <c r="G23" s="97" t="s">
        <v>36</v>
      </c>
      <c r="H23" s="97" t="s">
        <v>37</v>
      </c>
      <c r="I23" s="97" t="s">
        <v>38</v>
      </c>
      <c r="J23" s="97" t="s">
        <v>148</v>
      </c>
      <c r="K23" s="97" t="s">
        <v>149</v>
      </c>
      <c r="L23" s="90">
        <v>45196</v>
      </c>
      <c r="M23" s="90">
        <v>45198</v>
      </c>
      <c r="N23" s="95">
        <f>1084.7/2</f>
        <v>542.35</v>
      </c>
      <c r="O23" s="95">
        <f>1084.7/2</f>
        <v>542.35</v>
      </c>
      <c r="P23" s="95">
        <f t="shared" si="0"/>
        <v>1084.7</v>
      </c>
      <c r="Q23" s="77">
        <v>0</v>
      </c>
      <c r="R23" s="91">
        <v>0</v>
      </c>
      <c r="S23" s="77">
        <v>0</v>
      </c>
      <c r="T23" s="91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7"/>
    </row>
    <row r="24" spans="1:24" s="92" customFormat="1" ht="15">
      <c r="A24" s="97" t="s">
        <v>371</v>
      </c>
      <c r="B24" s="97" t="s">
        <v>371</v>
      </c>
      <c r="C24" s="97" t="s">
        <v>79</v>
      </c>
      <c r="D24" s="47">
        <v>0</v>
      </c>
      <c r="E24" s="97" t="s">
        <v>80</v>
      </c>
      <c r="F24" s="97" t="s">
        <v>161</v>
      </c>
      <c r="G24" s="97" t="s">
        <v>36</v>
      </c>
      <c r="H24" s="97" t="s">
        <v>37</v>
      </c>
      <c r="I24" s="97" t="s">
        <v>38</v>
      </c>
      <c r="J24" s="97" t="s">
        <v>39</v>
      </c>
      <c r="K24" s="97" t="s">
        <v>40</v>
      </c>
      <c r="L24" s="90">
        <v>45188</v>
      </c>
      <c r="M24" s="90">
        <v>45189</v>
      </c>
      <c r="N24" s="95">
        <f>2870.29/2</f>
        <v>1435.145</v>
      </c>
      <c r="O24" s="95">
        <f>2870.29/2</f>
        <v>1435.145</v>
      </c>
      <c r="P24" s="95">
        <f t="shared" si="0"/>
        <v>2870.29</v>
      </c>
      <c r="Q24" s="77">
        <v>0</v>
      </c>
      <c r="R24" s="91">
        <v>0</v>
      </c>
      <c r="S24" s="77">
        <v>0</v>
      </c>
      <c r="T24" s="91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7"/>
    </row>
    <row r="25" spans="1:24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D27" sqref="D27:E2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371</v>
      </c>
      <c r="B5" s="185" t="s">
        <v>273</v>
      </c>
      <c r="C5" s="97" t="s">
        <v>752</v>
      </c>
      <c r="D5" s="47">
        <v>384</v>
      </c>
      <c r="E5" s="97" t="s">
        <v>753</v>
      </c>
      <c r="F5" s="97" t="s">
        <v>754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90">
        <v>45225</v>
      </c>
      <c r="M5" s="90">
        <v>45226</v>
      </c>
      <c r="N5" s="95">
        <f>1857.25/2</f>
        <v>928.625</v>
      </c>
      <c r="O5" s="95">
        <f>1857.25/2</f>
        <v>928.625</v>
      </c>
      <c r="P5" s="95">
        <f t="shared" ref="P5:P30" si="0">SUM(N5:O5)</f>
        <v>1857.25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7"/>
    </row>
    <row r="6" spans="1:24" s="92" customFormat="1" ht="15">
      <c r="A6" s="97" t="s">
        <v>253</v>
      </c>
      <c r="B6" s="185" t="s">
        <v>288</v>
      </c>
      <c r="C6" s="97" t="s">
        <v>642</v>
      </c>
      <c r="D6" s="47">
        <v>252</v>
      </c>
      <c r="E6" s="98" t="s">
        <v>755</v>
      </c>
      <c r="F6" s="97" t="s">
        <v>756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45198</v>
      </c>
      <c r="M6" s="90">
        <v>45215</v>
      </c>
      <c r="N6" s="95">
        <f>1941.13/2</f>
        <v>970.56500000000005</v>
      </c>
      <c r="O6" s="95">
        <f>1941.13/2</f>
        <v>970.56500000000005</v>
      </c>
      <c r="P6" s="95">
        <f t="shared" si="0"/>
        <v>1941.13</v>
      </c>
      <c r="Q6" s="77">
        <v>18</v>
      </c>
      <c r="R6" s="91">
        <v>120</v>
      </c>
      <c r="S6" s="77">
        <v>0</v>
      </c>
      <c r="T6" s="91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7"/>
    </row>
    <row r="7" spans="1:24" s="92" customFormat="1" ht="30">
      <c r="A7" s="97" t="s">
        <v>371</v>
      </c>
      <c r="B7" s="185" t="s">
        <v>240</v>
      </c>
      <c r="C7" s="97" t="s">
        <v>140</v>
      </c>
      <c r="D7" s="47">
        <v>230</v>
      </c>
      <c r="E7" s="97" t="s">
        <v>709</v>
      </c>
      <c r="F7" s="98" t="s">
        <v>757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90">
        <v>45216</v>
      </c>
      <c r="M7" s="90">
        <v>45219</v>
      </c>
      <c r="N7" s="95">
        <f>2164.49/2</f>
        <v>1082.2449999999999</v>
      </c>
      <c r="O7" s="95">
        <f>2164.49/2</f>
        <v>1082.2449999999999</v>
      </c>
      <c r="P7" s="95">
        <f t="shared" si="0"/>
        <v>2164.4899999999998</v>
      </c>
      <c r="Q7" s="77">
        <v>4</v>
      </c>
      <c r="R7" s="91">
        <v>120</v>
      </c>
      <c r="S7" s="77">
        <v>0</v>
      </c>
      <c r="T7" s="91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7"/>
    </row>
    <row r="8" spans="1:24" s="92" customFormat="1" ht="15">
      <c r="A8" s="97" t="s">
        <v>371</v>
      </c>
      <c r="B8" s="185" t="s">
        <v>240</v>
      </c>
      <c r="C8" s="97" t="s">
        <v>477</v>
      </c>
      <c r="D8" s="47">
        <v>280</v>
      </c>
      <c r="E8" s="97" t="s">
        <v>758</v>
      </c>
      <c r="F8" s="97" t="s">
        <v>754</v>
      </c>
      <c r="G8" s="97" t="s">
        <v>36</v>
      </c>
      <c r="H8" s="97" t="s">
        <v>37</v>
      </c>
      <c r="I8" s="97" t="s">
        <v>38</v>
      </c>
      <c r="J8" s="97" t="s">
        <v>116</v>
      </c>
      <c r="K8" s="97" t="s">
        <v>117</v>
      </c>
      <c r="L8" s="90">
        <v>45225</v>
      </c>
      <c r="M8" s="90">
        <v>45226</v>
      </c>
      <c r="N8" s="95">
        <f>1816.7/2</f>
        <v>908.35</v>
      </c>
      <c r="O8" s="95">
        <f>1816.7/2</f>
        <v>908.35</v>
      </c>
      <c r="P8" s="95">
        <f t="shared" si="0"/>
        <v>1816.7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7"/>
    </row>
    <row r="9" spans="1:24" s="92" customFormat="1" ht="15">
      <c r="A9" s="97" t="s">
        <v>253</v>
      </c>
      <c r="B9" s="97" t="s">
        <v>322</v>
      </c>
      <c r="C9" s="97" t="s">
        <v>327</v>
      </c>
      <c r="D9" s="47">
        <v>87</v>
      </c>
      <c r="E9" s="97" t="s">
        <v>329</v>
      </c>
      <c r="F9" s="97" t="s">
        <v>759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45218</v>
      </c>
      <c r="M9" s="90">
        <v>45219</v>
      </c>
      <c r="N9" s="95">
        <f>2022.63/2</f>
        <v>1011.3150000000001</v>
      </c>
      <c r="O9" s="95">
        <f>2022.63/2</f>
        <v>1011.3150000000001</v>
      </c>
      <c r="P9" s="95">
        <f t="shared" si="0"/>
        <v>2022.63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7"/>
    </row>
    <row r="10" spans="1:24" s="92" customFormat="1" ht="15">
      <c r="A10" s="97" t="s">
        <v>253</v>
      </c>
      <c r="B10" s="97" t="s">
        <v>322</v>
      </c>
      <c r="C10" s="97" t="s">
        <v>760</v>
      </c>
      <c r="D10" s="47">
        <v>397</v>
      </c>
      <c r="E10" s="97" t="s">
        <v>761</v>
      </c>
      <c r="F10" s="97" t="s">
        <v>759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45218</v>
      </c>
      <c r="M10" s="90">
        <v>45219</v>
      </c>
      <c r="N10" s="95">
        <f t="shared" ref="N10:O11" si="10">2022.63/2</f>
        <v>1011.3150000000001</v>
      </c>
      <c r="O10" s="95">
        <f t="shared" si="10"/>
        <v>1011.3150000000001</v>
      </c>
      <c r="P10" s="95">
        <f t="shared" si="0"/>
        <v>2022.63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7"/>
    </row>
    <row r="11" spans="1:24" s="92" customFormat="1" ht="15">
      <c r="A11" s="97" t="s">
        <v>253</v>
      </c>
      <c r="B11" s="97" t="s">
        <v>322</v>
      </c>
      <c r="C11" s="97" t="s">
        <v>762</v>
      </c>
      <c r="D11" s="47">
        <v>324</v>
      </c>
      <c r="E11" s="97" t="s">
        <v>763</v>
      </c>
      <c r="F11" s="97" t="s">
        <v>759</v>
      </c>
      <c r="G11" s="97" t="s">
        <v>36</v>
      </c>
      <c r="H11" s="97" t="s">
        <v>37</v>
      </c>
      <c r="I11" s="97" t="s">
        <v>38</v>
      </c>
      <c r="J11" s="97" t="s">
        <v>116</v>
      </c>
      <c r="K11" s="97" t="s">
        <v>117</v>
      </c>
      <c r="L11" s="90">
        <v>45218</v>
      </c>
      <c r="M11" s="90">
        <v>45219</v>
      </c>
      <c r="N11" s="95">
        <f t="shared" si="10"/>
        <v>1011.3150000000001</v>
      </c>
      <c r="O11" s="95">
        <f t="shared" si="10"/>
        <v>1011.3150000000001</v>
      </c>
      <c r="P11" s="95">
        <f t="shared" si="0"/>
        <v>2022.63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7"/>
    </row>
    <row r="12" spans="1:24" s="92" customFormat="1" ht="15">
      <c r="A12" s="97" t="s">
        <v>231</v>
      </c>
      <c r="B12" s="97" t="s">
        <v>764</v>
      </c>
      <c r="C12" s="97" t="s">
        <v>731</v>
      </c>
      <c r="D12" s="47">
        <v>390</v>
      </c>
      <c r="E12" s="97" t="s">
        <v>765</v>
      </c>
      <c r="F12" s="97" t="s">
        <v>766</v>
      </c>
      <c r="G12" s="97" t="s">
        <v>36</v>
      </c>
      <c r="H12" s="97" t="s">
        <v>37</v>
      </c>
      <c r="I12" s="97" t="s">
        <v>38</v>
      </c>
      <c r="J12" s="97" t="s">
        <v>116</v>
      </c>
      <c r="K12" s="97" t="s">
        <v>767</v>
      </c>
      <c r="L12" s="90">
        <v>45224</v>
      </c>
      <c r="M12" s="90">
        <v>45226</v>
      </c>
      <c r="N12" s="95">
        <f>2436.85/2</f>
        <v>1218.425</v>
      </c>
      <c r="O12" s="95">
        <f>2436.85/2</f>
        <v>1218.425</v>
      </c>
      <c r="P12" s="95">
        <f t="shared" si="0"/>
        <v>2436.85</v>
      </c>
      <c r="Q12" s="77">
        <v>3</v>
      </c>
      <c r="R12" s="91">
        <v>120</v>
      </c>
      <c r="S12" s="77">
        <v>0</v>
      </c>
      <c r="T12" s="91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7"/>
    </row>
    <row r="13" spans="1:24" s="92" customFormat="1" ht="15">
      <c r="A13" s="97" t="s">
        <v>231</v>
      </c>
      <c r="B13" s="97" t="s">
        <v>231</v>
      </c>
      <c r="C13" s="97" t="s">
        <v>768</v>
      </c>
      <c r="D13" s="47">
        <v>392</v>
      </c>
      <c r="E13" s="97" t="s">
        <v>769</v>
      </c>
      <c r="F13" s="97" t="s">
        <v>766</v>
      </c>
      <c r="G13" s="97" t="s">
        <v>36</v>
      </c>
      <c r="H13" s="97" t="s">
        <v>37</v>
      </c>
      <c r="I13" s="97" t="s">
        <v>38</v>
      </c>
      <c r="J13" s="97" t="s">
        <v>116</v>
      </c>
      <c r="K13" s="97" t="s">
        <v>767</v>
      </c>
      <c r="L13" s="90">
        <v>45224</v>
      </c>
      <c r="M13" s="90">
        <v>45226</v>
      </c>
      <c r="N13" s="95">
        <f>2785.85/2</f>
        <v>1392.925</v>
      </c>
      <c r="O13" s="95">
        <f>2785.85/2</f>
        <v>1392.925</v>
      </c>
      <c r="P13" s="95">
        <f t="shared" si="0"/>
        <v>2785.85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7"/>
    </row>
    <row r="14" spans="1:24" s="92" customFormat="1" ht="15">
      <c r="A14" s="97" t="s">
        <v>231</v>
      </c>
      <c r="B14" s="97" t="s">
        <v>229</v>
      </c>
      <c r="C14" s="97" t="s">
        <v>653</v>
      </c>
      <c r="D14" s="47">
        <v>343</v>
      </c>
      <c r="E14" s="97" t="s">
        <v>770</v>
      </c>
      <c r="F14" s="97" t="s">
        <v>771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45224</v>
      </c>
      <c r="M14" s="90">
        <v>45226</v>
      </c>
      <c r="N14" s="95">
        <f>1941.13/2</f>
        <v>970.56500000000005</v>
      </c>
      <c r="O14" s="95">
        <f>1941.13/2</f>
        <v>970.56500000000005</v>
      </c>
      <c r="P14" s="95">
        <f t="shared" si="0"/>
        <v>1941.13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7"/>
    </row>
    <row r="15" spans="1:24" s="92" customFormat="1" ht="15">
      <c r="A15" s="97" t="s">
        <v>231</v>
      </c>
      <c r="B15" s="97" t="s">
        <v>229</v>
      </c>
      <c r="C15" s="97" t="s">
        <v>65</v>
      </c>
      <c r="D15" s="47">
        <v>195</v>
      </c>
      <c r="E15" s="97" t="s">
        <v>770</v>
      </c>
      <c r="F15" s="97" t="s">
        <v>771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45224</v>
      </c>
      <c r="M15" s="90">
        <v>45226</v>
      </c>
      <c r="N15" s="95">
        <f>1941.13/2</f>
        <v>970.56500000000005</v>
      </c>
      <c r="O15" s="95">
        <f>1941.13/2</f>
        <v>970.56500000000005</v>
      </c>
      <c r="P15" s="95">
        <f t="shared" si="0"/>
        <v>1941.13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7"/>
    </row>
    <row r="16" spans="1:24" s="92" customFormat="1" ht="15">
      <c r="A16" s="97" t="s">
        <v>231</v>
      </c>
      <c r="B16" s="97" t="s">
        <v>229</v>
      </c>
      <c r="C16" s="97" t="s">
        <v>729</v>
      </c>
      <c r="D16" s="47">
        <v>387</v>
      </c>
      <c r="E16" s="97" t="s">
        <v>248</v>
      </c>
      <c r="F16" s="97" t="s">
        <v>772</v>
      </c>
      <c r="G16" s="97" t="s">
        <v>36</v>
      </c>
      <c r="H16" s="97" t="s">
        <v>37</v>
      </c>
      <c r="I16" s="97" t="s">
        <v>38</v>
      </c>
      <c r="J16" s="97" t="s">
        <v>116</v>
      </c>
      <c r="K16" s="97" t="s">
        <v>117</v>
      </c>
      <c r="L16" s="90">
        <v>45222</v>
      </c>
      <c r="M16" s="90">
        <v>45225</v>
      </c>
      <c r="N16" s="95">
        <f>1816.7/2</f>
        <v>908.35</v>
      </c>
      <c r="O16" s="95">
        <f>1816.7/2</f>
        <v>908.35</v>
      </c>
      <c r="P16" s="95">
        <f t="shared" si="0"/>
        <v>1816.7</v>
      </c>
      <c r="Q16" s="77">
        <v>4</v>
      </c>
      <c r="R16" s="91">
        <v>120</v>
      </c>
      <c r="S16" s="77">
        <v>0</v>
      </c>
      <c r="T16" s="91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7"/>
    </row>
    <row r="17" spans="1:24" s="92" customFormat="1" ht="15">
      <c r="A17" s="97" t="s">
        <v>253</v>
      </c>
      <c r="B17" s="97" t="s">
        <v>253</v>
      </c>
      <c r="C17" s="97" t="s">
        <v>387</v>
      </c>
      <c r="D17" s="47">
        <v>0</v>
      </c>
      <c r="E17" s="97" t="s">
        <v>50</v>
      </c>
      <c r="F17" s="97" t="s">
        <v>766</v>
      </c>
      <c r="G17" s="97" t="s">
        <v>36</v>
      </c>
      <c r="H17" s="97" t="s">
        <v>37</v>
      </c>
      <c r="I17" s="97" t="s">
        <v>38</v>
      </c>
      <c r="J17" s="97" t="s">
        <v>116</v>
      </c>
      <c r="K17" s="97" t="s">
        <v>767</v>
      </c>
      <c r="L17" s="90">
        <v>45224</v>
      </c>
      <c r="M17" s="90">
        <v>45226</v>
      </c>
      <c r="N17" s="95">
        <f>2436.85/2</f>
        <v>1218.425</v>
      </c>
      <c r="O17" s="95">
        <f>2436.85/2</f>
        <v>1218.425</v>
      </c>
      <c r="P17" s="95">
        <f t="shared" si="0"/>
        <v>2436.85</v>
      </c>
      <c r="Q17" s="77">
        <v>0</v>
      </c>
      <c r="R17" s="91">
        <v>120</v>
      </c>
      <c r="S17" s="77">
        <v>0</v>
      </c>
      <c r="T17" s="91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7"/>
    </row>
    <row r="18" spans="1:24" s="92" customFormat="1" ht="15">
      <c r="A18" s="97" t="s">
        <v>253</v>
      </c>
      <c r="B18" s="97" t="s">
        <v>259</v>
      </c>
      <c r="C18" s="97" t="s">
        <v>383</v>
      </c>
      <c r="D18" s="47">
        <v>65</v>
      </c>
      <c r="E18" s="97" t="s">
        <v>773</v>
      </c>
      <c r="F18" s="97" t="s">
        <v>766</v>
      </c>
      <c r="G18" s="97" t="s">
        <v>36</v>
      </c>
      <c r="H18" s="97" t="s">
        <v>37</v>
      </c>
      <c r="I18" s="97" t="s">
        <v>38</v>
      </c>
      <c r="J18" s="97" t="s">
        <v>116</v>
      </c>
      <c r="K18" s="97" t="s">
        <v>767</v>
      </c>
      <c r="L18" s="90">
        <v>45224</v>
      </c>
      <c r="M18" s="90">
        <v>45226</v>
      </c>
      <c r="N18" s="95">
        <f>2436.85/2</f>
        <v>1218.425</v>
      </c>
      <c r="O18" s="95">
        <f>2436.85/2</f>
        <v>1218.425</v>
      </c>
      <c r="P18" s="95">
        <f t="shared" si="0"/>
        <v>2436.85</v>
      </c>
      <c r="Q18" s="77">
        <v>3</v>
      </c>
      <c r="R18" s="91">
        <v>120</v>
      </c>
      <c r="S18" s="77">
        <v>0</v>
      </c>
      <c r="T18" s="91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7"/>
    </row>
    <row r="19" spans="1:24" s="92" customFormat="1" ht="15">
      <c r="A19" s="97" t="s">
        <v>371</v>
      </c>
      <c r="B19" s="97" t="s">
        <v>371</v>
      </c>
      <c r="C19" s="97" t="s">
        <v>79</v>
      </c>
      <c r="D19" s="47">
        <v>0</v>
      </c>
      <c r="E19" s="97" t="s">
        <v>80</v>
      </c>
      <c r="F19" s="97" t="str">
        <f>$E$36</f>
        <v>EVENTO REGULATÓRIO COMMIT/MITSUI - QUANTUM</v>
      </c>
      <c r="G19" s="97" t="s">
        <v>774</v>
      </c>
      <c r="H19" s="97" t="s">
        <v>37</v>
      </c>
      <c r="I19" s="97" t="s">
        <v>38</v>
      </c>
      <c r="J19" s="97"/>
      <c r="K19" s="97" t="s">
        <v>775</v>
      </c>
      <c r="L19" s="90">
        <v>45214</v>
      </c>
      <c r="M19" s="90">
        <v>45220</v>
      </c>
      <c r="N19" s="95">
        <f>4613.64/2</f>
        <v>2306.8200000000002</v>
      </c>
      <c r="O19" s="95">
        <f>4613.64/2</f>
        <v>2306.8200000000002</v>
      </c>
      <c r="P19" s="95">
        <f t="shared" si="0"/>
        <v>4613.6400000000003</v>
      </c>
      <c r="Q19" s="77">
        <v>0</v>
      </c>
      <c r="R19" s="91">
        <v>120</v>
      </c>
      <c r="S19" s="77">
        <v>0</v>
      </c>
      <c r="T19" s="91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7"/>
    </row>
    <row r="20" spans="1:24" s="92" customFormat="1" ht="15">
      <c r="A20" s="97" t="s">
        <v>231</v>
      </c>
      <c r="B20" s="97" t="s">
        <v>231</v>
      </c>
      <c r="C20" s="97" t="s">
        <v>704</v>
      </c>
      <c r="D20" s="47">
        <v>0</v>
      </c>
      <c r="E20" s="97" t="s">
        <v>562</v>
      </c>
      <c r="F20" s="97" t="str">
        <f>$E$36</f>
        <v>EVENTO REGULATÓRIO COMMIT/MITSUI - QUANTUM</v>
      </c>
      <c r="G20" s="97" t="s">
        <v>774</v>
      </c>
      <c r="H20" s="97" t="s">
        <v>37</v>
      </c>
      <c r="I20" s="97" t="s">
        <v>38</v>
      </c>
      <c r="J20" s="97"/>
      <c r="K20" s="97" t="s">
        <v>775</v>
      </c>
      <c r="L20" s="90">
        <v>45214</v>
      </c>
      <c r="M20" s="90">
        <v>45220</v>
      </c>
      <c r="N20" s="95">
        <f>6094/2</f>
        <v>3047</v>
      </c>
      <c r="O20" s="95">
        <f>6094/2</f>
        <v>3047</v>
      </c>
      <c r="P20" s="95">
        <f t="shared" si="0"/>
        <v>6094</v>
      </c>
      <c r="Q20" s="77">
        <v>0</v>
      </c>
      <c r="R20" s="91">
        <v>6279.28</v>
      </c>
      <c r="S20" s="77">
        <v>0</v>
      </c>
      <c r="T20" s="91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7"/>
    </row>
    <row r="21" spans="1:24" s="92" customFormat="1" ht="15">
      <c r="A21" s="97" t="s">
        <v>371</v>
      </c>
      <c r="B21" s="97" t="s">
        <v>371</v>
      </c>
      <c r="C21" s="97" t="s">
        <v>137</v>
      </c>
      <c r="D21" s="47">
        <v>202</v>
      </c>
      <c r="E21" s="97" t="s">
        <v>700</v>
      </c>
      <c r="F21" s="97" t="str">
        <f>$E$36</f>
        <v>EVENTO REGULATÓRIO COMMIT/MITSUI - QUANTUM</v>
      </c>
      <c r="G21" s="97" t="s">
        <v>774</v>
      </c>
      <c r="H21" s="97" t="s">
        <v>37</v>
      </c>
      <c r="I21" s="97" t="s">
        <v>38</v>
      </c>
      <c r="J21" s="97"/>
      <c r="K21" s="97" t="s">
        <v>775</v>
      </c>
      <c r="L21" s="90">
        <v>45214</v>
      </c>
      <c r="M21" s="90">
        <v>45220</v>
      </c>
      <c r="N21" s="95">
        <f>4613.64/2</f>
        <v>2306.8200000000002</v>
      </c>
      <c r="O21" s="95">
        <f>4613.64/2</f>
        <v>2306.8200000000002</v>
      </c>
      <c r="P21" s="95">
        <f t="shared" si="0"/>
        <v>4613.6400000000003</v>
      </c>
      <c r="Q21" s="77">
        <v>0</v>
      </c>
      <c r="R21" s="91">
        <v>120</v>
      </c>
      <c r="S21" s="77">
        <v>0</v>
      </c>
      <c r="T21" s="91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7"/>
    </row>
    <row r="22" spans="1:24" s="92" customFormat="1" ht="15">
      <c r="A22" s="97" t="s">
        <v>371</v>
      </c>
      <c r="B22" s="185" t="s">
        <v>295</v>
      </c>
      <c r="C22" s="97" t="s">
        <v>296</v>
      </c>
      <c r="D22" s="47">
        <v>61</v>
      </c>
      <c r="E22" s="97" t="s">
        <v>776</v>
      </c>
      <c r="F22" s="97" t="s">
        <v>777</v>
      </c>
      <c r="G22" s="97" t="s">
        <v>36</v>
      </c>
      <c r="H22" s="97" t="s">
        <v>37</v>
      </c>
      <c r="I22" s="97" t="s">
        <v>38</v>
      </c>
      <c r="J22" s="97" t="s">
        <v>39</v>
      </c>
      <c r="K22" s="97" t="s">
        <v>40</v>
      </c>
      <c r="L22" s="90">
        <v>45216</v>
      </c>
      <c r="M22" s="90">
        <v>45217</v>
      </c>
      <c r="N22" s="95">
        <f>2054.92/2</f>
        <v>1027.46</v>
      </c>
      <c r="O22" s="95">
        <f>2054.92/2</f>
        <v>1027.46</v>
      </c>
      <c r="P22" s="95">
        <f t="shared" si="0"/>
        <v>2054.92</v>
      </c>
      <c r="Q22" s="77">
        <v>2</v>
      </c>
      <c r="R22" s="91">
        <v>120</v>
      </c>
      <c r="S22" s="77">
        <v>0</v>
      </c>
      <c r="T22" s="91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7"/>
    </row>
    <row r="23" spans="1:24" s="92" customFormat="1" ht="15">
      <c r="A23" s="97" t="s">
        <v>253</v>
      </c>
      <c r="B23" s="97" t="s">
        <v>253</v>
      </c>
      <c r="C23" s="97" t="s">
        <v>387</v>
      </c>
      <c r="D23" s="47">
        <v>0</v>
      </c>
      <c r="E23" s="97" t="s">
        <v>50</v>
      </c>
      <c r="F23" s="97" t="s">
        <v>778</v>
      </c>
      <c r="G23" s="97" t="s">
        <v>36</v>
      </c>
      <c r="H23" s="97" t="s">
        <v>37</v>
      </c>
      <c r="I23" s="97" t="s">
        <v>38</v>
      </c>
      <c r="J23" s="97" t="s">
        <v>39</v>
      </c>
      <c r="K23" s="97" t="s">
        <v>40</v>
      </c>
      <c r="L23" s="90">
        <v>45221</v>
      </c>
      <c r="M23" s="90">
        <v>45224</v>
      </c>
      <c r="N23" s="95">
        <f>(1632.83+2870.29)/2</f>
        <v>2251.56</v>
      </c>
      <c r="O23" s="95">
        <f>(1632.83+2870.29)/2</f>
        <v>2251.56</v>
      </c>
      <c r="P23" s="95">
        <f t="shared" si="0"/>
        <v>4503.12</v>
      </c>
      <c r="Q23" s="77">
        <v>0</v>
      </c>
      <c r="R23" s="91">
        <v>120</v>
      </c>
      <c r="S23" s="77">
        <v>0</v>
      </c>
      <c r="T23" s="91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7"/>
    </row>
    <row r="24" spans="1:24" s="92" customFormat="1" ht="30">
      <c r="A24" s="97" t="s">
        <v>231</v>
      </c>
      <c r="B24" s="97" t="s">
        <v>231</v>
      </c>
      <c r="C24" s="97" t="s">
        <v>704</v>
      </c>
      <c r="D24" s="47">
        <v>0</v>
      </c>
      <c r="E24" s="97" t="s">
        <v>562</v>
      </c>
      <c r="F24" s="98" t="s">
        <v>779</v>
      </c>
      <c r="G24" s="97" t="s">
        <v>36</v>
      </c>
      <c r="H24" s="97" t="s">
        <v>37</v>
      </c>
      <c r="I24" s="97" t="s">
        <v>38</v>
      </c>
      <c r="J24" s="97" t="s">
        <v>127</v>
      </c>
      <c r="K24" s="97" t="s">
        <v>63</v>
      </c>
      <c r="L24" s="90">
        <v>45222</v>
      </c>
      <c r="M24" s="90">
        <v>45224</v>
      </c>
      <c r="N24" s="95">
        <f>2210.74/2</f>
        <v>1105.3699999999999</v>
      </c>
      <c r="O24" s="95">
        <f>2210.74/2</f>
        <v>1105.3699999999999</v>
      </c>
      <c r="P24" s="95">
        <f t="shared" si="0"/>
        <v>2210.7399999999998</v>
      </c>
      <c r="Q24" s="77">
        <v>0</v>
      </c>
      <c r="R24" s="91">
        <v>120</v>
      </c>
      <c r="S24" s="77">
        <v>0</v>
      </c>
      <c r="T24" s="91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7"/>
    </row>
    <row r="25" spans="1:24" s="92" customFormat="1" ht="15">
      <c r="A25" s="97" t="s">
        <v>253</v>
      </c>
      <c r="B25" s="97" t="s">
        <v>212</v>
      </c>
      <c r="C25" s="97" t="s">
        <v>539</v>
      </c>
      <c r="D25" s="47">
        <v>159</v>
      </c>
      <c r="E25" s="97" t="s">
        <v>541</v>
      </c>
      <c r="F25" s="97" t="s">
        <v>780</v>
      </c>
      <c r="G25" s="97" t="s">
        <v>36</v>
      </c>
      <c r="H25" s="97" t="s">
        <v>37</v>
      </c>
      <c r="I25" s="97" t="s">
        <v>38</v>
      </c>
      <c r="J25" s="97" t="s">
        <v>127</v>
      </c>
      <c r="K25" s="97" t="s">
        <v>414</v>
      </c>
      <c r="L25" s="90">
        <v>45223</v>
      </c>
      <c r="M25" s="90">
        <v>45224</v>
      </c>
      <c r="N25" s="95">
        <f>3615.39/2</f>
        <v>1807.6949999999999</v>
      </c>
      <c r="O25" s="95">
        <f>3615.39/2</f>
        <v>1807.6949999999999</v>
      </c>
      <c r="P25" s="95">
        <f t="shared" si="0"/>
        <v>3615.39</v>
      </c>
      <c r="Q25" s="77">
        <v>2</v>
      </c>
      <c r="R25" s="91">
        <v>120</v>
      </c>
      <c r="S25" s="77">
        <v>0</v>
      </c>
      <c r="T25" s="91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7"/>
    </row>
    <row r="26" spans="1:24" s="92" customFormat="1" ht="15">
      <c r="A26" s="97" t="s">
        <v>231</v>
      </c>
      <c r="B26" s="97" t="s">
        <v>231</v>
      </c>
      <c r="C26" s="97" t="s">
        <v>704</v>
      </c>
      <c r="D26" s="47">
        <v>0</v>
      </c>
      <c r="E26" s="97" t="s">
        <v>562</v>
      </c>
      <c r="F26" s="97" t="s">
        <v>766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781</v>
      </c>
      <c r="L26" s="90">
        <v>45224</v>
      </c>
      <c r="M26" s="90">
        <v>45226</v>
      </c>
      <c r="N26" s="95">
        <f>1951.84/2</f>
        <v>975.92</v>
      </c>
      <c r="O26" s="95">
        <f>1951.84/2</f>
        <v>975.92</v>
      </c>
      <c r="P26" s="95">
        <f t="shared" si="0"/>
        <v>1951.84</v>
      </c>
      <c r="Q26" s="77">
        <v>0</v>
      </c>
      <c r="R26" s="91">
        <v>120</v>
      </c>
      <c r="S26" s="77">
        <v>0</v>
      </c>
      <c r="T26" s="91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7"/>
    </row>
    <row r="27" spans="1:24" s="92" customFormat="1" ht="15">
      <c r="A27" s="97" t="s">
        <v>231</v>
      </c>
      <c r="B27" s="97" t="s">
        <v>241</v>
      </c>
      <c r="C27" s="97" t="s">
        <v>701</v>
      </c>
      <c r="D27" s="47">
        <v>394</v>
      </c>
      <c r="E27" s="97" t="s">
        <v>702</v>
      </c>
      <c r="F27" s="97" t="s">
        <v>782</v>
      </c>
      <c r="G27" s="97" t="s">
        <v>36</v>
      </c>
      <c r="H27" s="97" t="s">
        <v>37</v>
      </c>
      <c r="I27" s="97" t="s">
        <v>38</v>
      </c>
      <c r="J27" s="97" t="s">
        <v>127</v>
      </c>
      <c r="K27" s="97" t="s">
        <v>63</v>
      </c>
      <c r="L27" s="90">
        <v>45223</v>
      </c>
      <c r="M27" s="90">
        <v>45225</v>
      </c>
      <c r="N27" s="95">
        <f>925.58/2</f>
        <v>462.79</v>
      </c>
      <c r="O27" s="95">
        <f>925.58/2</f>
        <v>462.79</v>
      </c>
      <c r="P27" s="95">
        <f t="shared" si="0"/>
        <v>925.58</v>
      </c>
      <c r="Q27" s="77">
        <v>4</v>
      </c>
      <c r="R27" s="91">
        <v>120</v>
      </c>
      <c r="S27" s="77">
        <v>0</v>
      </c>
      <c r="T27" s="91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7"/>
    </row>
    <row r="28" spans="1:24" s="92" customFormat="1" ht="15">
      <c r="A28" s="97" t="s">
        <v>371</v>
      </c>
      <c r="B28" s="97" t="s">
        <v>371</v>
      </c>
      <c r="C28" s="97" t="s">
        <v>137</v>
      </c>
      <c r="D28" s="47">
        <v>202</v>
      </c>
      <c r="E28" s="97" t="s">
        <v>700</v>
      </c>
      <c r="F28" s="97" t="s">
        <v>783</v>
      </c>
      <c r="G28" s="97" t="s">
        <v>36</v>
      </c>
      <c r="H28" s="97" t="s">
        <v>37</v>
      </c>
      <c r="I28" s="97" t="s">
        <v>38</v>
      </c>
      <c r="J28" s="97" t="s">
        <v>39</v>
      </c>
      <c r="K28" s="97" t="s">
        <v>40</v>
      </c>
      <c r="L28" s="90">
        <v>45223</v>
      </c>
      <c r="M28" s="90">
        <v>45226</v>
      </c>
      <c r="N28" s="95">
        <f t="shared" ref="N28:O30" si="16">2170.64/2</f>
        <v>1085.32</v>
      </c>
      <c r="O28" s="95">
        <f t="shared" si="16"/>
        <v>1085.32</v>
      </c>
      <c r="P28" s="95">
        <f t="shared" si="0"/>
        <v>2170.64</v>
      </c>
      <c r="Q28" s="77">
        <v>4</v>
      </c>
      <c r="R28" s="91">
        <v>120</v>
      </c>
      <c r="S28" s="77">
        <v>0</v>
      </c>
      <c r="T28" s="91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7"/>
    </row>
    <row r="29" spans="1:24" s="92" customFormat="1" ht="15">
      <c r="A29" s="97" t="s">
        <v>371</v>
      </c>
      <c r="B29" s="185" t="s">
        <v>240</v>
      </c>
      <c r="C29" s="97" t="s">
        <v>448</v>
      </c>
      <c r="D29" s="47">
        <v>336</v>
      </c>
      <c r="E29" s="97" t="s">
        <v>294</v>
      </c>
      <c r="F29" s="97" t="s">
        <v>783</v>
      </c>
      <c r="G29" s="97" t="s">
        <v>36</v>
      </c>
      <c r="H29" s="97" t="s">
        <v>37</v>
      </c>
      <c r="I29" s="97" t="s">
        <v>38</v>
      </c>
      <c r="J29" s="97" t="s">
        <v>39</v>
      </c>
      <c r="K29" s="97" t="s">
        <v>40</v>
      </c>
      <c r="L29" s="90">
        <v>45223</v>
      </c>
      <c r="M29" s="90">
        <v>45225</v>
      </c>
      <c r="N29" s="95">
        <f t="shared" si="16"/>
        <v>1085.32</v>
      </c>
      <c r="O29" s="95">
        <f t="shared" si="16"/>
        <v>1085.32</v>
      </c>
      <c r="P29" s="95">
        <f t="shared" si="0"/>
        <v>2170.64</v>
      </c>
      <c r="Q29" s="77">
        <v>3</v>
      </c>
      <c r="R29" s="91">
        <v>120</v>
      </c>
      <c r="S29" s="77">
        <v>0</v>
      </c>
      <c r="T29" s="91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7"/>
    </row>
    <row r="30" spans="1:24" s="92" customFormat="1" ht="15">
      <c r="A30" s="97" t="s">
        <v>371</v>
      </c>
      <c r="B30" s="185" t="s">
        <v>240</v>
      </c>
      <c r="C30" s="97" t="s">
        <v>140</v>
      </c>
      <c r="D30" s="47">
        <v>230</v>
      </c>
      <c r="E30" s="97" t="s">
        <v>709</v>
      </c>
      <c r="F30" s="97" t="s">
        <v>783</v>
      </c>
      <c r="G30" s="97" t="s">
        <v>36</v>
      </c>
      <c r="H30" s="97" t="s">
        <v>37</v>
      </c>
      <c r="I30" s="97" t="s">
        <v>38</v>
      </c>
      <c r="J30" s="97" t="s">
        <v>39</v>
      </c>
      <c r="K30" s="97" t="s">
        <v>40</v>
      </c>
      <c r="L30" s="90">
        <v>45223</v>
      </c>
      <c r="M30" s="90">
        <v>45226</v>
      </c>
      <c r="N30" s="95">
        <f t="shared" si="16"/>
        <v>1085.32</v>
      </c>
      <c r="O30" s="95">
        <f t="shared" si="16"/>
        <v>1085.32</v>
      </c>
      <c r="P30" s="95">
        <f t="shared" si="0"/>
        <v>2170.64</v>
      </c>
      <c r="Q30" s="77">
        <v>4</v>
      </c>
      <c r="R30" s="91">
        <v>120</v>
      </c>
      <c r="S30" s="77">
        <v>0</v>
      </c>
      <c r="T30" s="91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7"/>
    </row>
    <row r="31" spans="1:24" ht="14.25" customHeight="1"/>
    <row r="36" spans="3:6">
      <c r="E36" s="96" t="str">
        <f>UPPER(E45)</f>
        <v>EVENTO REGULATÓRIO COMMIT/MITSUI - QUANTUM</v>
      </c>
    </row>
    <row r="37" spans="3:6">
      <c r="F37" s="96" t="str">
        <f>UPPER(G15)</f>
        <v>NACIONAL</v>
      </c>
    </row>
    <row r="40" spans="3:6">
      <c r="F40" t="s">
        <v>784</v>
      </c>
    </row>
    <row r="41" spans="3:6">
      <c r="C41" t="s">
        <v>785</v>
      </c>
    </row>
    <row r="43" spans="3:6">
      <c r="F43" t="s">
        <v>786</v>
      </c>
    </row>
    <row r="45" spans="3:6">
      <c r="E45" t="s">
        <v>787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tabSelected="1" topLeftCell="A2" workbookViewId="0">
      <selection activeCell="E16" sqref="E16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231</v>
      </c>
      <c r="B5" s="97" t="s">
        <v>231</v>
      </c>
      <c r="C5" s="97" t="s">
        <v>704</v>
      </c>
      <c r="D5" s="47">
        <v>0</v>
      </c>
      <c r="E5" s="97" t="s">
        <v>562</v>
      </c>
      <c r="F5" s="97" t="s">
        <v>788</v>
      </c>
      <c r="G5" s="97" t="s">
        <v>36</v>
      </c>
      <c r="H5" s="97" t="s">
        <v>37</v>
      </c>
      <c r="I5" s="97" t="s">
        <v>38</v>
      </c>
      <c r="J5" s="97" t="s">
        <v>62</v>
      </c>
      <c r="K5" s="97" t="s">
        <v>63</v>
      </c>
      <c r="L5" s="90">
        <v>45257</v>
      </c>
      <c r="M5" s="90">
        <v>45260</v>
      </c>
      <c r="N5" s="95">
        <f>2296.41/2</f>
        <v>1148.2049999999999</v>
      </c>
      <c r="O5" s="95">
        <f>2296.41/2</f>
        <v>1148.2049999999999</v>
      </c>
      <c r="P5" s="95">
        <f t="shared" ref="P5:P16" si="0">SUM(N5:O5)</f>
        <v>2296.41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7"/>
    </row>
    <row r="6" spans="1:24" s="92" customFormat="1" ht="15">
      <c r="A6" s="97" t="s">
        <v>231</v>
      </c>
      <c r="B6" s="185" t="s">
        <v>366</v>
      </c>
      <c r="C6" s="97" t="s">
        <v>789</v>
      </c>
      <c r="D6" s="47">
        <v>393</v>
      </c>
      <c r="E6" s="98" t="s">
        <v>790</v>
      </c>
      <c r="F6" s="97" t="s">
        <v>788</v>
      </c>
      <c r="G6" s="97" t="s">
        <v>36</v>
      </c>
      <c r="H6" s="97" t="s">
        <v>37</v>
      </c>
      <c r="I6" s="97" t="s">
        <v>38</v>
      </c>
      <c r="J6" s="97" t="s">
        <v>62</v>
      </c>
      <c r="K6" s="97" t="s">
        <v>63</v>
      </c>
      <c r="L6" s="90">
        <v>45257</v>
      </c>
      <c r="M6" s="90">
        <v>45260</v>
      </c>
      <c r="N6" s="95">
        <f>1979.29/2</f>
        <v>989.64499999999998</v>
      </c>
      <c r="O6" s="95">
        <f>1979.29/2</f>
        <v>989.64499999999998</v>
      </c>
      <c r="P6" s="95">
        <f t="shared" si="0"/>
        <v>1979.29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7"/>
    </row>
    <row r="7" spans="1:24" s="92" customFormat="1" ht="15">
      <c r="A7" s="97" t="s">
        <v>231</v>
      </c>
      <c r="B7" s="97" t="s">
        <v>231</v>
      </c>
      <c r="C7" s="97" t="s">
        <v>704</v>
      </c>
      <c r="D7" s="47">
        <v>0</v>
      </c>
      <c r="E7" s="97" t="s">
        <v>562</v>
      </c>
      <c r="F7" s="98" t="s">
        <v>75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45237</v>
      </c>
      <c r="M7" s="90">
        <v>45241</v>
      </c>
      <c r="N7" s="95">
        <f>3464.21/2</f>
        <v>1732.105</v>
      </c>
      <c r="O7" s="95">
        <f>3464.21/2</f>
        <v>1732.105</v>
      </c>
      <c r="P7" s="95">
        <f t="shared" si="0"/>
        <v>3464.21</v>
      </c>
      <c r="Q7" s="77">
        <v>0</v>
      </c>
      <c r="R7" s="91">
        <v>120</v>
      </c>
      <c r="S7" s="77">
        <v>0</v>
      </c>
      <c r="T7" s="91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7"/>
    </row>
    <row r="8" spans="1:24" s="92" customFormat="1" ht="15">
      <c r="A8" s="97" t="s">
        <v>253</v>
      </c>
      <c r="B8" s="185" t="s">
        <v>253</v>
      </c>
      <c r="C8" s="97" t="s">
        <v>387</v>
      </c>
      <c r="D8" s="47">
        <v>0</v>
      </c>
      <c r="E8" s="97" t="s">
        <v>50</v>
      </c>
      <c r="F8" s="97" t="s">
        <v>791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45258</v>
      </c>
      <c r="M8" s="90">
        <v>45259</v>
      </c>
      <c r="N8" s="95">
        <f>4699.52/2</f>
        <v>2349.7600000000002</v>
      </c>
      <c r="O8" s="95">
        <f>4699.52/2</f>
        <v>2349.7600000000002</v>
      </c>
      <c r="P8" s="95">
        <f t="shared" si="0"/>
        <v>4699.5200000000004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7"/>
    </row>
    <row r="9" spans="1:24" s="92" customFormat="1" ht="15">
      <c r="A9" s="97" t="s">
        <v>231</v>
      </c>
      <c r="B9" s="185" t="s">
        <v>231</v>
      </c>
      <c r="C9" s="97" t="s">
        <v>704</v>
      </c>
      <c r="D9" s="47">
        <v>0</v>
      </c>
      <c r="E9" s="97" t="s">
        <v>562</v>
      </c>
      <c r="F9" s="97" t="s">
        <v>792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45236</v>
      </c>
      <c r="M9" s="90">
        <v>45237</v>
      </c>
      <c r="N9" s="95">
        <f>3364.89/2</f>
        <v>1682.4449999999999</v>
      </c>
      <c r="O9" s="95">
        <f>3364.89/2</f>
        <v>1682.4449999999999</v>
      </c>
      <c r="P9" s="95">
        <f t="shared" si="0"/>
        <v>3364.89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7"/>
    </row>
    <row r="10" spans="1:24" s="92" customFormat="1" ht="15">
      <c r="A10" s="97" t="s">
        <v>231</v>
      </c>
      <c r="B10" s="185" t="s">
        <v>215</v>
      </c>
      <c r="C10" s="97" t="s">
        <v>746</v>
      </c>
      <c r="D10" s="47">
        <v>386</v>
      </c>
      <c r="E10" s="97" t="s">
        <v>218</v>
      </c>
      <c r="F10" s="97" t="s">
        <v>793</v>
      </c>
      <c r="G10" s="97" t="s">
        <v>36</v>
      </c>
      <c r="H10" s="97" t="s">
        <v>37</v>
      </c>
      <c r="I10" s="97" t="s">
        <v>38</v>
      </c>
      <c r="J10" s="97" t="s">
        <v>39</v>
      </c>
      <c r="K10" s="97" t="s">
        <v>40</v>
      </c>
      <c r="L10" s="90">
        <v>45253</v>
      </c>
      <c r="M10" s="90">
        <v>45254</v>
      </c>
      <c r="N10" s="95">
        <f>5920.25</f>
        <v>5920.25</v>
      </c>
      <c r="O10" s="95">
        <v>1055.73</v>
      </c>
      <c r="P10" s="95">
        <f t="shared" si="0"/>
        <v>6975.98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7"/>
    </row>
    <row r="11" spans="1:24" s="92" customFormat="1" ht="15">
      <c r="A11" s="97"/>
      <c r="B11" s="185" t="s">
        <v>226</v>
      </c>
      <c r="C11" s="97" t="s">
        <v>46</v>
      </c>
      <c r="D11" s="47">
        <v>232</v>
      </c>
      <c r="E11" s="97" t="s">
        <v>47</v>
      </c>
      <c r="F11" s="97" t="s">
        <v>794</v>
      </c>
      <c r="G11" s="97" t="s">
        <v>36</v>
      </c>
      <c r="H11" s="97" t="s">
        <v>37</v>
      </c>
      <c r="I11" s="97" t="s">
        <v>38</v>
      </c>
      <c r="J11" s="97" t="s">
        <v>104</v>
      </c>
      <c r="K11" s="97" t="s">
        <v>105</v>
      </c>
      <c r="L11" s="90">
        <v>45252</v>
      </c>
      <c r="M11" s="90">
        <v>45254</v>
      </c>
      <c r="N11" s="95">
        <f>2386.3/2</f>
        <v>1193.1500000000001</v>
      </c>
      <c r="O11" s="95">
        <f>2386.3/2</f>
        <v>1193.1500000000001</v>
      </c>
      <c r="P11" s="95">
        <f t="shared" si="0"/>
        <v>2386.3000000000002</v>
      </c>
      <c r="Q11" s="77">
        <v>3</v>
      </c>
      <c r="R11" s="91">
        <v>120</v>
      </c>
      <c r="S11" s="77">
        <v>0</v>
      </c>
      <c r="T11" s="91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7"/>
    </row>
    <row r="12" spans="1:24" s="92" customFormat="1" ht="15">
      <c r="A12" s="97" t="s">
        <v>253</v>
      </c>
      <c r="B12" s="97" t="s">
        <v>212</v>
      </c>
      <c r="C12" s="97" t="s">
        <v>270</v>
      </c>
      <c r="D12" s="47" t="s">
        <v>168</v>
      </c>
      <c r="E12" s="97" t="s">
        <v>599</v>
      </c>
      <c r="F12" s="97" t="s">
        <v>795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391</v>
      </c>
      <c r="L12" s="90">
        <v>45243</v>
      </c>
      <c r="M12" s="90">
        <v>45244</v>
      </c>
      <c r="N12" s="95">
        <f>1429.3/2</f>
        <v>714.65</v>
      </c>
      <c r="O12" s="95">
        <f>1429.3/2</f>
        <v>714.65</v>
      </c>
      <c r="P12" s="95">
        <f t="shared" si="0"/>
        <v>1429.3</v>
      </c>
      <c r="Q12" s="77">
        <v>2</v>
      </c>
      <c r="R12" s="91">
        <v>120</v>
      </c>
      <c r="S12" s="77">
        <v>0</v>
      </c>
      <c r="T12" s="91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7"/>
    </row>
    <row r="13" spans="1:24" s="92" customFormat="1" ht="15">
      <c r="A13" s="97" t="s">
        <v>253</v>
      </c>
      <c r="B13" s="97" t="s">
        <v>259</v>
      </c>
      <c r="C13" s="97" t="s">
        <v>383</v>
      </c>
      <c r="D13" s="47">
        <v>65</v>
      </c>
      <c r="E13" s="97" t="s">
        <v>796</v>
      </c>
      <c r="F13" s="97" t="s">
        <v>797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90">
        <v>45236</v>
      </c>
      <c r="M13" s="90">
        <v>45237</v>
      </c>
      <c r="N13" s="95">
        <f>3474.52/2</f>
        <v>1737.26</v>
      </c>
      <c r="O13" s="95">
        <f>3474.52/2</f>
        <v>1737.26</v>
      </c>
      <c r="P13" s="95">
        <f t="shared" si="0"/>
        <v>3474.52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7"/>
    </row>
    <row r="14" spans="1:24" s="92" customFormat="1" ht="15">
      <c r="A14" s="97" t="s">
        <v>253</v>
      </c>
      <c r="B14" s="97" t="s">
        <v>253</v>
      </c>
      <c r="C14" s="97" t="s">
        <v>387</v>
      </c>
      <c r="D14" s="47">
        <v>0</v>
      </c>
      <c r="E14" s="97" t="s">
        <v>50</v>
      </c>
      <c r="F14" s="97" t="s">
        <v>792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63</v>
      </c>
      <c r="L14" s="90">
        <v>45238</v>
      </c>
      <c r="M14" s="90">
        <v>45238</v>
      </c>
      <c r="N14" s="95">
        <f>1687.36/2</f>
        <v>843.68</v>
      </c>
      <c r="O14" s="95">
        <f>1687.36/2</f>
        <v>843.68</v>
      </c>
      <c r="P14" s="95">
        <f t="shared" si="0"/>
        <v>1687.36</v>
      </c>
      <c r="Q14" s="77">
        <v>0</v>
      </c>
      <c r="R14" s="91">
        <v>120</v>
      </c>
      <c r="S14" s="77">
        <v>0</v>
      </c>
      <c r="T14" s="91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7"/>
    </row>
    <row r="15" spans="1:24" s="92" customFormat="1" ht="15">
      <c r="A15" s="97" t="s">
        <v>231</v>
      </c>
      <c r="B15" s="97" t="s">
        <v>231</v>
      </c>
      <c r="C15" s="97" t="s">
        <v>768</v>
      </c>
      <c r="D15" s="47">
        <v>392</v>
      </c>
      <c r="E15" s="97" t="s">
        <v>798</v>
      </c>
      <c r="F15" s="97" t="s">
        <v>792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45236</v>
      </c>
      <c r="M15" s="90">
        <v>45237</v>
      </c>
      <c r="N15" s="95">
        <f>4185.9/2</f>
        <v>2092.9499999999998</v>
      </c>
      <c r="O15" s="95">
        <f>4185.9/2</f>
        <v>2092.9499999999998</v>
      </c>
      <c r="P15" s="95">
        <f t="shared" si="0"/>
        <v>4185.8999999999996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7"/>
    </row>
    <row r="16" spans="1:24" s="92" customFormat="1" ht="15">
      <c r="A16" s="97" t="s">
        <v>231</v>
      </c>
      <c r="B16" s="97" t="s">
        <v>241</v>
      </c>
      <c r="C16" s="97" t="s">
        <v>701</v>
      </c>
      <c r="D16" s="47">
        <v>394</v>
      </c>
      <c r="E16" s="97" t="s">
        <v>702</v>
      </c>
      <c r="F16" s="97" t="s">
        <v>792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90">
        <v>45236</v>
      </c>
      <c r="M16" s="90">
        <v>45237</v>
      </c>
      <c r="N16" s="95">
        <f>4185.9/2</f>
        <v>2092.9499999999998</v>
      </c>
      <c r="O16" s="95">
        <f>4185.9/2</f>
        <v>2092.9499999999998</v>
      </c>
      <c r="P16" s="95">
        <f t="shared" si="0"/>
        <v>4185.8999999999996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7"/>
    </row>
    <row r="17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43160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227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>
      <c r="A11" s="34" t="s">
        <v>228</v>
      </c>
      <c r="B11" s="34" t="s">
        <v>229</v>
      </c>
      <c r="C11" s="27" t="s">
        <v>118</v>
      </c>
      <c r="D11" s="29" t="s">
        <v>119</v>
      </c>
      <c r="E11" s="20" t="s">
        <v>120</v>
      </c>
      <c r="F11" s="34" t="s">
        <v>230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>
      <c r="A12" s="34" t="s">
        <v>228</v>
      </c>
      <c r="B12" s="34" t="s">
        <v>231</v>
      </c>
      <c r="C12" s="27" t="s">
        <v>86</v>
      </c>
      <c r="D12" s="29" t="s">
        <v>107</v>
      </c>
      <c r="E12" s="20" t="s">
        <v>87</v>
      </c>
      <c r="F12" s="34" t="s">
        <v>232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232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>
      <c r="A14" s="34" t="s">
        <v>233</v>
      </c>
      <c r="B14" s="34" t="s">
        <v>233</v>
      </c>
      <c r="C14" s="27" t="s">
        <v>223</v>
      </c>
      <c r="D14" s="26" t="s">
        <v>107</v>
      </c>
      <c r="E14" s="20" t="s">
        <v>50</v>
      </c>
      <c r="F14" s="34" t="s">
        <v>51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43191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47.25" customHeight="1">
      <c r="A10" s="34" t="s">
        <v>233</v>
      </c>
      <c r="B10" s="34" t="s">
        <v>234</v>
      </c>
      <c r="C10" s="34" t="s">
        <v>185</v>
      </c>
      <c r="D10" s="29" t="s">
        <v>186</v>
      </c>
      <c r="E10" s="34" t="s">
        <v>187</v>
      </c>
      <c r="F10" s="34" t="s">
        <v>235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236</v>
      </c>
    </row>
    <row r="11" spans="1:24" ht="51">
      <c r="A11" s="34" t="s">
        <v>233</v>
      </c>
      <c r="B11" s="34" t="s">
        <v>234</v>
      </c>
      <c r="C11" s="27" t="s">
        <v>237</v>
      </c>
      <c r="D11" s="29" t="s">
        <v>238</v>
      </c>
      <c r="E11" s="34" t="s">
        <v>239</v>
      </c>
      <c r="F11" s="34" t="s">
        <v>235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>
      <c r="A12" s="34" t="s">
        <v>225</v>
      </c>
      <c r="B12" s="34" t="s">
        <v>240</v>
      </c>
      <c r="C12" s="27" t="s">
        <v>137</v>
      </c>
      <c r="D12" s="29" t="s">
        <v>138</v>
      </c>
      <c r="E12" s="34" t="s">
        <v>139</v>
      </c>
      <c r="F12" s="34" t="s">
        <v>235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>
      <c r="A13" s="34" t="s">
        <v>228</v>
      </c>
      <c r="B13" s="34" t="s">
        <v>241</v>
      </c>
      <c r="C13" s="27" t="s">
        <v>130</v>
      </c>
      <c r="D13" s="29" t="s">
        <v>131</v>
      </c>
      <c r="E13" s="34" t="s">
        <v>132</v>
      </c>
      <c r="F13" s="34" t="s">
        <v>242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107</v>
      </c>
      <c r="E14" s="20" t="s">
        <v>87</v>
      </c>
      <c r="F14" s="34" t="s">
        <v>243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>
      <c r="A15" s="34" t="s">
        <v>228</v>
      </c>
      <c r="B15" s="34" t="s">
        <v>221</v>
      </c>
      <c r="C15" s="27" t="s">
        <v>54</v>
      </c>
      <c r="D15" s="29" t="s">
        <v>88</v>
      </c>
      <c r="E15" s="20" t="s">
        <v>55</v>
      </c>
      <c r="F15" s="34" t="s">
        <v>243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>
      <c r="A16" s="34" t="s">
        <v>228</v>
      </c>
      <c r="B16" s="34" t="s">
        <v>228</v>
      </c>
      <c r="C16" s="27" t="s">
        <v>86</v>
      </c>
      <c r="D16" s="29" t="s">
        <v>107</v>
      </c>
      <c r="E16" s="20" t="s">
        <v>87</v>
      </c>
      <c r="F16" s="34" t="s">
        <v>244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244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Santos</dc:creator>
  <cp:keywords/>
  <dc:description/>
  <cp:lastModifiedBy>Michele Maciel de Souza</cp:lastModifiedBy>
  <cp:revision>9</cp:revision>
  <dcterms:created xsi:type="dcterms:W3CDTF">2017-08-07T12:58:20Z</dcterms:created>
  <dcterms:modified xsi:type="dcterms:W3CDTF">2025-01-22T17:55:13Z</dcterms:modified>
  <cp:category/>
  <cp:contentStatus/>
</cp:coreProperties>
</file>