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Mapa de viagens\"/>
    </mc:Choice>
  </mc:AlternateContent>
  <xr:revisionPtr revIDLastSave="0" documentId="13_ncr:1_{5B50E9A7-D8F9-4A7D-B013-121FDD4D77E5}" xr6:coauthVersionLast="47" xr6:coauthVersionMax="47" xr10:uidLastSave="{00000000-0000-0000-0000-000000000000}"/>
  <bookViews>
    <workbookView xWindow="-120" yWindow="-120" windowWidth="29040" windowHeight="15840" firstSheet="81" activeTab="81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EXECUTADO_- Julho -_2024" sheetId="95" r:id="rId81"/>
    <sheet name="EXECUTADO_- Agosto-_2024 " sheetId="99" r:id="rId82"/>
    <sheet name="EXECUTADO_- Stembro -_2024 (2)" sheetId="98" r:id="rId83"/>
    <sheet name="EXECUTADO_- Setembro -_2024" sheetId="97" r:id="rId84"/>
    <sheet name="Plan2" sheetId="68" r:id="rId85"/>
    <sheet name="Plan3" sheetId="80" r:id="rId8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1" i="99" l="1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R22" i="98"/>
  <c r="S22" i="98" s="1"/>
  <c r="T22" i="98" s="1"/>
  <c r="N21" i="98"/>
  <c r="N22" i="98"/>
  <c r="M22" i="98"/>
  <c r="M21" i="98"/>
  <c r="N18" i="98" l="1"/>
  <c r="R18" i="98" s="1"/>
  <c r="S18" i="98" s="1"/>
  <c r="T18" i="98" s="1"/>
  <c r="K18" i="98"/>
  <c r="L18" i="98"/>
  <c r="K17" i="98"/>
  <c r="N16" i="98"/>
  <c r="R16" i="98" s="1"/>
  <c r="S16" i="98" s="1"/>
  <c r="T16" i="98" s="1"/>
  <c r="K13" i="98"/>
  <c r="L13" i="98"/>
  <c r="N13" i="98"/>
  <c r="L11" i="98"/>
  <c r="K11" i="98"/>
  <c r="M7" i="98"/>
  <c r="K6" i="98"/>
  <c r="L6" i="98"/>
  <c r="K30" i="98"/>
  <c r="M30" i="98" s="1"/>
  <c r="R29" i="98"/>
  <c r="L29" i="98"/>
  <c r="K29" i="98"/>
  <c r="K28" i="98"/>
  <c r="M28" i="98" s="1"/>
  <c r="K27" i="98"/>
  <c r="M27" i="98" s="1"/>
  <c r="R26" i="98"/>
  <c r="L26" i="98"/>
  <c r="K26" i="98"/>
  <c r="K25" i="98"/>
  <c r="M25" i="98" s="1"/>
  <c r="K24" i="98"/>
  <c r="M24" i="98" s="1"/>
  <c r="N23" i="98"/>
  <c r="R23" i="98" s="1"/>
  <c r="L23" i="98"/>
  <c r="K23" i="98"/>
  <c r="L22" i="98"/>
  <c r="K22" i="98"/>
  <c r="R21" i="98"/>
  <c r="S21" i="98" s="1"/>
  <c r="T21" i="98" s="1"/>
  <c r="L21" i="98"/>
  <c r="K21" i="98"/>
  <c r="N20" i="98"/>
  <c r="R20" i="98" s="1"/>
  <c r="L20" i="98"/>
  <c r="K20" i="98"/>
  <c r="N19" i="98"/>
  <c r="R19" i="98" s="1"/>
  <c r="S19" i="98" s="1"/>
  <c r="T19" i="98" s="1"/>
  <c r="L19" i="98"/>
  <c r="K19" i="98"/>
  <c r="N17" i="98"/>
  <c r="R17" i="98" s="1"/>
  <c r="S17" i="98" s="1"/>
  <c r="T17" i="98" s="1"/>
  <c r="L17" i="98"/>
  <c r="L16" i="98"/>
  <c r="K16" i="98"/>
  <c r="N15" i="98"/>
  <c r="R15" i="98" s="1"/>
  <c r="S15" i="98" s="1"/>
  <c r="T15" i="98" s="1"/>
  <c r="L15" i="98"/>
  <c r="K15" i="98"/>
  <c r="R14" i="98"/>
  <c r="S14" i="98" s="1"/>
  <c r="T14" i="98" s="1"/>
  <c r="L14" i="98"/>
  <c r="K14" i="98"/>
  <c r="R13" i="98"/>
  <c r="S13" i="98" s="1"/>
  <c r="T13" i="98" s="1"/>
  <c r="N12" i="98"/>
  <c r="R12" i="98" s="1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7"/>
  <c r="O10" i="97"/>
  <c r="N10" i="97"/>
  <c r="O9" i="97"/>
  <c r="N9" i="97"/>
  <c r="P9" i="97" s="1"/>
  <c r="U8" i="97"/>
  <c r="O8" i="97"/>
  <c r="N8" i="97"/>
  <c r="P8" i="97" s="1"/>
  <c r="V8" i="97" s="1"/>
  <c r="W8" i="97" s="1"/>
  <c r="U7" i="97"/>
  <c r="O7" i="97"/>
  <c r="N7" i="97"/>
  <c r="P7" i="97" s="1"/>
  <c r="V7" i="97" s="1"/>
  <c r="W7" i="97" s="1"/>
  <c r="U6" i="97"/>
  <c r="O6" i="97"/>
  <c r="N6" i="97"/>
  <c r="P6" i="97" s="1"/>
  <c r="V6" i="97" s="1"/>
  <c r="W6" i="97" s="1"/>
  <c r="U5" i="97"/>
  <c r="O5" i="97"/>
  <c r="N5" i="97"/>
  <c r="P5" i="97" s="1"/>
  <c r="V5" i="97" s="1"/>
  <c r="W5" i="97" s="1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M20" i="98" l="1"/>
  <c r="S20" i="98" s="1"/>
  <c r="T20" i="98" s="1"/>
  <c r="M23" i="98"/>
  <c r="S23" i="98" s="1"/>
  <c r="T23" i="98" s="1"/>
  <c r="M26" i="98"/>
  <c r="S26" i="98" s="1"/>
  <c r="T26" i="98" s="1"/>
  <c r="M29" i="98"/>
  <c r="S29" i="98" s="1"/>
  <c r="T29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<sst xmlns="http://schemas.openxmlformats.org/spreadsheetml/2006/main" count="10732" uniqueCount="954">
  <si>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</si>
  <si>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</si>
  <si>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</si>
  <si>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</si>
  <si>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</si>
  <si>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</si>
  <si>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</si>
  <si>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</si>
  <si>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</si>
  <si>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</si>
  <si>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</si>
  <si>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</si>
  <si>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</si>
  <si>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</si>
  <si>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</si>
  <si>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</si>
  <si>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</si>
  <si>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</si>
  <si>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</si>
  <si>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</si>
  <si>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</si>
  <si>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</si>
  <si>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</si>
  <si>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</si>
  <si>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</si>
  <si>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</si>
  <si>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</si>
  <si>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</si>
  <si>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</si>
  <si>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</si>
  <si>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</si>
  <si>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</si>
  <si>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</si>
  <si>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</si>
  <si>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</si>
  <si>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</si>
  <si>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</si>
  <si>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</si>
  <si>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</si>
  <si>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</si>
  <si>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</si>
  <si>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</si>
  <si>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</si>
  <si>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</si>
  <si>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</si>
  <si>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</si>
  <si>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</si>
  <si>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</si>
  <si>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</si>
  <si>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</si>
  <si>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</si>
  <si>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</si>
  <si>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</si>
  <si>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</si>
  <si>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</si>
  <si>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</si>
  <si>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</si>
  <si>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</si>
  <si>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</si>
  <si>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</si>
  <si>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</si>
  <si>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</si>
  <si>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</si>
  <si>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</si>
  <si>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</si>
  <si>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</si>
  <si>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</si>
  <si>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</si>
  <si>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</si>
  <si>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</si>
  <si>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</si>
  <si>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</si>
  <si>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</si>
  <si>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</si>
  <si>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</si>
  <si>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</si>
  <si>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</si>
  <si>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</si>
  <si>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</si>
  <si>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</si>
  <si>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</si>
  <si>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</si>
  <si>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</si>
  <si>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</si>
  <si>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</si>
  <si>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</si>
  <si>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</si>
  <si>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</si>
  <si>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</si>
  <si>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</si>
  <si>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</si>
  <si>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</si>
  <si>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</si>
  <si>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</si>
  <si>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</si>
  <si>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</si>
  <si>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</si>
  <si>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</si>
  <si>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</si>
  <si>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</si>
  <si>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</si>
  <si>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</si>
  <si>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</si>
  <si>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</si>
  <si>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</si>
  <si>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</si>
  <si>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</si>
  <si>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</si>
  <si>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</si>
  <si>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</si>
  <si>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</si>
  <si>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</si>
  <si>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</si>
  <si>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</si>
  <si>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</si>
  <si>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</si>
  <si>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</si>
  <si>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</si>
  <si>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</si>
  <si>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</si>
  <si>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</si>
  <si>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</si>
  <si>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</si>
  <si>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</si>
  <si>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</si>
  <si>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</si>
  <si>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</si>
  <si>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</si>
  <si>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</si>
  <si>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</si>
  <si>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</si>
  <si>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</si>
  <si>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</si>
  <si>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</si>
  <si>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</si>
  <si>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</si>
  <si>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</si>
  <si>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</si>
  <si>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</si>
  <si>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</si>
  <si>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</si>
  <si>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</si>
  <si>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</si>
  <si>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</si>
  <si>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</si>
  <si>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</si>
  <si>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</si>
  <si>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</si>
  <si>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</si>
  <si>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</si>
  <si>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</si>
  <si>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</si>
  <si>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</si>
  <si>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</si>
  <si>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</si>
  <si>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</si>
  <si>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</si>
  <si>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</si>
  <si>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</si>
  <si>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</si>
  <si>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</si>
  <si>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</si>
  <si>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</si>
  <si>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</si>
  <si>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</si>
  <si>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</si>
  <si>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</si>
  <si>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</si>
  <si>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</si>
  <si>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</si>
  <si>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</si>
  <si>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</si>
  <si>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</si>
  <si>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</si>
  <si>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</si>
  <si>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</si>
  <si>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</si>
  <si>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</si>
  <si>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</si>
  <si>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</si>
  <si>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</si>
  <si>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</si>
  <si>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</si>
  <si>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</si>
  <si>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</si>
  <si>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</si>
  <si>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</si>
  <si>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</si>
  <si>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</si>
  <si>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</si>
  <si>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</si>
  <si>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</si>
  <si>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</si>
  <si>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</si>
  <si>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</si>
  <si>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</si>
  <si>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</si>
  <si>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</si>
  <si>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</si>
  <si>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</si>
  <si>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</si>
  <si>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</si>
  <si>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</si>
  <si>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</si>
  <si>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</si>
  <si>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</si>
  <si>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</si>
  <si>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</si>
  <si>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</si>
  <si>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</si>
  <si>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</si>
  <si>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</si>
  <si>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</si>
  <si>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</si>
  <si>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</si>
  <si>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</si>
  <si>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</si>
  <si>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</si>
  <si>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</si>
  <si>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</si>
  <si>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</si>
  <si>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</si>
  <si>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</si>
  <si>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</si>
  <si>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</si>
  <si>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</si>
  <si>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</si>
  <si>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</si>
  <si>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</si>
  <si>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</si>
  <si>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</si>
  <si>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</si>
  <si>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</si>
  <si>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</si>
  <si>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</si>
  <si>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</si>
  <si>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</si>
  <si>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</si>
  <si>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</si>
  <si>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</si>
  <si>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</si>
  <si>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</si>
  <si>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</si>
  <si>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</si>
  <si>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</si>
  <si>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</si>
  <si>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</si>
  <si>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</si>
  <si>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</si>
  <si>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</si>
  <si>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</si>
  <si>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</si>
  <si>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</si>
  <si>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</si>
  <si>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</si>
  <si>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</si>
  <si>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</si>
  <si>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</si>
  <si>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</si>
  <si>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</si>
  <si>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</si>
  <si>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</si>
  <si>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</si>
  <si>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</si>
  <si>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</si>
  <si>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</si>
  <si>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</si>
  <si>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</si>
  <si>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</si>
  <si>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</si>
  <si>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</si>
  <si>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</si>
  <si>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</si>
  <si>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</si>
  <si>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</si>
  <si>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</si>
  <si>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</si>
  <si>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</si>
  <si>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</si>
  <si>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</si>
  <si>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</si>
  <si>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</si>
  <si>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</si>
  <si>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</si>
  <si>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</si>
  <si>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</si>
  <si>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</si>
  <si>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</si>
  <si>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</si>
  <si>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</si>
  <si>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</si>
  <si>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</si>
  <si>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</si>
  <si>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</si>
  <si>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</si>
  <si>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</si>
  <si>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</si>
  <si>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</si>
  <si>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</si>
  <si>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</si>
  <si>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</si>
  <si>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</si>
  <si>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</si>
  <si>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</si>
  <si>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</si>
  <si>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</si>
  <si>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</si>
  <si>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</si>
  <si>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</si>
  <si>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</si>
  <si>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</si>
  <si>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</si>
  <si>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</si>
  <si>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</si>
  <si>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</si>
  <si>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</si>
  <si>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</si>
  <si>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</si>
  <si>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</si>
  <si>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</si>
  <si>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</si>
  <si>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</si>
  <si>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</si>
  <si>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</si>
  <si>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</si>
  <si>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</si>
  <si>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</si>
  <si>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</si>
  <si>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</si>
  <si>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</si>
  <si>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</si>
  <si>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</si>
  <si>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</si>
  <si>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</si>
  <si>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</si>
  <si>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</si>
  <si>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</si>
  <si>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</si>
  <si>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</si>
  <si>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</si>
  <si>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</si>
  <si>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</si>
  <si>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</si>
  <si>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</si>
  <si>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</si>
  <si>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</si>
  <si>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</si>
  <si>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</si>
  <si>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</si>
  <si>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</si>
  <si>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</si>
  <si>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</si>
  <si>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</si>
  <si>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</si>
  <si>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</si>
  <si>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</si>
  <si>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</si>
  <si>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</si>
  <si>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</si>
  <si>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</si>
  <si>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</si>
  <si>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</si>
  <si>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</si>
  <si>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</si>
  <si>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</si>
  <si>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</si>
  <si>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</si>
  <si>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</si>
  <si>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</si>
  <si>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</si>
  <si>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</si>
  <si>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</si>
  <si>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</si>
  <si>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</si>
  <si>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</si>
  <si>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</si>
  <si>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</si>
  <si>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</si>
  <si>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</si>
  <si>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</si>
  <si>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</si>
  <si>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</si>
  <si>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</si>
  <si>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</si>
  <si>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</si>
  <si>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</si>
  <si>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</si>
  <si>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</si>
  <si>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</si>
  <si>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</si>
  <si>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</si>
  <si>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</si>
  <si>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</si>
  <si>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</si>
  <si>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</si>
  <si>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</si>
  <si>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</si>
  <si>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</si>
  <si>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</si>
  <si>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</si>
  <si>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</si>
  <si>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</si>
  <si>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</si>
  <si>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</si>
  <si>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</si>
  <si>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</si>
  <si>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</si>
  <si>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</si>
  <si>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</si>
  <si>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</si>
  <si>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</si>
  <si>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</si>
  <si>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</si>
  <si>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</si>
  <si>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</si>
  <si>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</si>
  <si>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</si>
  <si>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</si>
  <si>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</si>
  <si>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</si>
  <si>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</si>
  <si>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</si>
  <si>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</si>
  <si>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</si>
  <si>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</si>
  <si>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</si>
  <si>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</si>
  <si>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</si>
  <si>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</si>
  <si>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</si>
  <si>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</si>
  <si>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</si>
  <si>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</si>
  <si>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</si>
  <si>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</si>
  <si>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</si>
  <si>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</si>
  <si>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</si>
  <si>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</si>
  <si>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</si>
  <si>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</si>
  <si>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</si>
  <si>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</si>
  <si>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</si>
  <si>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</si>
  <si>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</si>
  <si>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</si>
  <si>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</si>
  <si>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</si>
  <si>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</si>
  <si>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</si>
  <si>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</si>
  <si>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</si>
  <si>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</si>
  <si>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</si>
  <si>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</si>
  <si>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</si>
  <si>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</si>
  <si>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</si>
  <si>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</si>
  <si>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</si>
  <si>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</si>
  <si>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</si>
  <si>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</si>
  <si>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</si>
  <si>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</si>
  <si>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</si>
  <si>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</si>
  <si>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</si>
  <si>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</si>
  <si>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</si>
  <si>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</si>
  <si>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</si>
  <si>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</si>
  <si>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</si>
  <si>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</si>
  <si>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</si>
  <si>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</si>
  <si>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</si>
  <si>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</si>
  <si>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</si>
  <si>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</si>
  <si>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</si>
  <si>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</si>
  <si>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</si>
  <si>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</si>
  <si>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</si>
  <si>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</si>
  <si>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</si>
  <si>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</si>
  <si>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</si>
  <si>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</si>
  <si>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</si>
  <si>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</si>
  <si>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</si>
  <si>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</si>
  <si>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</si>
  <si>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</si>
  <si>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</si>
  <si>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</si>
  <si>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</si>
  <si>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</si>
  <si>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</si>
  <si>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</si>
  <si>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</si>
  <si>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</si>
  <si>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</si>
  <si>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</si>
  <si>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</si>
  <si>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</si>
  <si>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</si>
  <si>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</si>
  <si>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</si>
  <si>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</si>
  <si>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</si>
  <si>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</si>
  <si>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</si>
  <si>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</si>
  <si>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</si>
  <si>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</si>
  <si>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</si>
  <si>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</si>
  <si>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</si>
  <si>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</si>
  <si>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</si>
  <si>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</si>
  <si>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</si>
  <si>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</si>
  <si>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</si>
  <si>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</si>
  <si>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</si>
  <si>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</si>
  <si>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</si>
  <si>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</si>
  <si>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</si>
  <si>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</si>
  <si>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</si>
  <si>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</si>
  <si>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</si>
  <si>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</si>
  <si>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</si>
  <si>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</si>
  <si>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</si>
  <si>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</si>
  <si>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</si>
  <si>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</si>
  <si>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</si>
  <si>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</si>
  <si>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</si>
  <si>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</si>
  <si>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</si>
  <si>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</si>
  <si>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</si>
  <si>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</si>
  <si>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</si>
  <si>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</si>
  <si>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</si>
  <si>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</si>
  <si>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</si>
  <si>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</si>
  <si>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</si>
  <si>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</si>
  <si>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</si>
  <si>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</si>
  <si>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</si>
  <si>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</si>
  <si>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</si>
  <si>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</si>
  <si>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</si>
  <si>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</si>
  <si>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</si>
  <si>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</si>
  <si>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</si>
  <si>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</si>
  <si>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</si>
  <si>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</si>
  <si>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</si>
  <si>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</si>
  <si>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</si>
  <si>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</si>
  <si>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</si>
  <si>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</si>
  <si>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</si>
  <si>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</si>
  <si>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</si>
  <si>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</si>
  <si>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</si>
  <si>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</si>
  <si>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</si>
  <si>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</si>
  <si>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</si>
  <si>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</si>
  <si>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</si>
  <si>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</si>
  <si>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</si>
  <si>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</si>
  <si>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</si>
  <si>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</si>
  <si>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</si>
  <si>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</si>
  <si>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</si>
  <si>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</si>
  <si>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</si>
  <si>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</si>
  <si>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</si>
  <si>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</si>
  <si>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</si>
  <si>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</si>
  <si>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</si>
  <si>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</si>
  <si>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</si>
  <si>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</si>
  <si>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</si>
  <si>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</si>
  <si>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</si>
  <si>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</si>
  <si>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</si>
  <si>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</si>
  <si>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</si>
  <si>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</si>
  <si>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</si>
  <si>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</si>
  <si>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</si>
  <si>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</si>
  <si>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</si>
  <si>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</si>
  <si>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</si>
  <si>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</si>
  <si>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</si>
  <si>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</si>
  <si>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</si>
  <si>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</si>
  <si>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</si>
  <si>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</si>
  <si>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</si>
  <si>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</si>
  <si>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</si>
  <si>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</si>
  <si>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</si>
  <si>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</si>
  <si>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</si>
  <si>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</si>
  <si>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</si>
  <si>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</si>
  <si>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</si>
  <si>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</si>
  <si>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</si>
  <si>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</si>
  <si>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</si>
  <si>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</si>
  <si>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</si>
  <si>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</si>
  <si>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</si>
  <si>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</si>
  <si>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</si>
  <si>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</si>
  <si>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</si>
  <si>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</si>
  <si>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</si>
  <si>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</si>
  <si>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</si>
  <si>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</si>
  <si>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</si>
  <si>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</si>
  <si>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</si>
  <si>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</si>
  <si>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</si>
  <si>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</si>
  <si>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</si>
  <si>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</si>
  <si>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</si>
  <si>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</si>
  <si>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</si>
  <si>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</si>
  <si>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</si>
  <si>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</si>
  <si>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</si>
  <si>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</si>
  <si>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</si>
  <si>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</si>
  <si>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</si>
  <si>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</si>
  <si>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</si>
  <si>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</si>
  <si>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</si>
  <si>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</si>
  <si>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</si>
  <si>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</si>
  <si>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</si>
  <si>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</si>
  <si>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</si>
  <si>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</si>
  <si>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Supervisor de Orçamento e Contas a Pagar</t>
  </si>
  <si>
    <t>1ª Reunião - Comitê Técnico Regulatório Commit &amp; Mitsui</t>
  </si>
  <si>
    <t>Técnico de Operacional de Operações</t>
  </si>
  <si>
    <t>SUBSTITUIÇÃO DE COLABORADOR EM PERÍODO DE FÉRIAS.</t>
  </si>
  <si>
    <t>reunião rio de janeiro GYPSUM</t>
  </si>
  <si>
    <t>SEMINÁRIO GÁS NATURAL - IBP - RIO DE JANEIRO.</t>
  </si>
  <si>
    <t>ASSISTENTE DO DTC</t>
  </si>
  <si>
    <t>SEMINÁRIO GÁS NATURAL IBP - RIO DE JANEIRO</t>
  </si>
  <si>
    <t>ASSISTENTE DO DAF</t>
  </si>
  <si>
    <t>VITOR DE ALMEIDA DINIZ</t>
  </si>
  <si>
    <t>COORDENADOR DE NOVOS NEGOCIOS</t>
  </si>
  <si>
    <t>REUNIÃO  ABEGÁS</t>
  </si>
  <si>
    <t>FELIPE VALENCA DE SOUSA</t>
  </si>
  <si>
    <t>REUNIÃO DIRETORIA COPERGÁS COM DIRETORI AMITSUI E COMMIT- RIO DE JANEIRO E SÃO PAULO</t>
  </si>
  <si>
    <t xml:space="preserve"> Energy Forum - IBP</t>
  </si>
  <si>
    <t>PROJETO BIOMETANO PETROLINA(PE)-JUAZEIRO(BA) COM TRAVESSIA DO RIO SAO FRANCISCO.</t>
  </si>
  <si>
    <t>AGENDA ANUAL DE VISITA AOS BANCOS - SP. REUNIÃO COMMIT</t>
  </si>
  <si>
    <t>GERENTE FINACEIRO</t>
  </si>
  <si>
    <t>Trata-se de viagem para reuniões em SP.</t>
  </si>
  <si>
    <t>CONFI - CONSELHO FISCAL</t>
  </si>
  <si>
    <t>ALYNE VALENTIM MUNIZ</t>
  </si>
  <si>
    <t>CONSELHO FISCAL</t>
  </si>
  <si>
    <t>REUNIÃO DO CONSELHO FISCAL</t>
  </si>
  <si>
    <t>BRUNO DO PRADO CASTILHO</t>
  </si>
  <si>
    <t>Referente viagem para reunião Copergás - EY</t>
  </si>
  <si>
    <t>SEMINARIO LEI DAS ESTATAIS aprovado na lnt</t>
  </si>
  <si>
    <t>VISITAS GYPSUM E NIAGRO</t>
  </si>
  <si>
    <t>Trata-se de viagem REC - SP - REC  a trabalho.</t>
  </si>
  <si>
    <t xml:space="preserve">curso Latam e Brazil Oil&amp;Gás Summit 2023 </t>
  </si>
  <si>
    <t>REUNIÃO PETROLINA</t>
  </si>
  <si>
    <t>REUNIÃO MINISTERIAL</t>
  </si>
  <si>
    <t>TECNICO OPERACIONAL SEGURANÇA DE TRABALHO</t>
  </si>
  <si>
    <t>Treinamento de integração de QSMS para as equipes das contratadas de Caruaru e Garanhuns: Engear, MW e Carplan.</t>
  </si>
  <si>
    <t>SÃO LUIZ</t>
  </si>
  <si>
    <t xml:space="preserve">New Fórum de Energia no Rio </t>
  </si>
  <si>
    <t>SUPERVISOR ORÇAMENTO E CONTAS A PAGAR</t>
  </si>
  <si>
    <t>PARTICIPAR DO RIO PIPELINE -RJ</t>
  </si>
  <si>
    <t>BRUNA TEIXEIRA MACIAS MOURY FERNANDES</t>
  </si>
  <si>
    <t>Workshop ESG Commit</t>
  </si>
  <si>
    <t>MANUELA MARANHAO DE AZEVEDO MELLO</t>
  </si>
  <si>
    <t>ACOMPANHAENTO CHEGADA NAVIO EM FERANDO DE NORONHA</t>
  </si>
  <si>
    <t>FERNANDO DE NORONHA</t>
  </si>
  <si>
    <t>REUNIÃO COM EMPRESA DE ENGENHARIA</t>
  </si>
  <si>
    <t>REUNIÃO FGV</t>
  </si>
  <si>
    <t xml:space="preserve">CONGRESSO ABRAMAN </t>
  </si>
  <si>
    <t>ISABELLE MIRANDA CESAR</t>
  </si>
  <si>
    <t>VISITA AO POLO GESSEIRO</t>
  </si>
  <si>
    <t>APRESENTAÇÃO 1ST PASS</t>
  </si>
  <si>
    <t>ABEGAS</t>
  </si>
  <si>
    <t>VISITA A PETROBRAS</t>
  </si>
  <si>
    <t>MEDIAÇÃO FGV</t>
  </si>
  <si>
    <t>TECNICO OPERACIONAL QSMS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</si>
  <si>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</si>
  <si>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</si>
  <si>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</si>
  <si>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</si>
  <si>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</si>
  <si>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ENGENHEIRA DE QSMS</t>
  </si>
  <si>
    <t>TREINAMENTO DE INTEGRAÇÃO DE CONTRATADAS</t>
  </si>
  <si>
    <t>REFRENTE VIAGEM PARA ABEGÁS EM MACEIÓ.</t>
  </si>
  <si>
    <t>LEGILMO MARCELO FONTES DE OLIVEIRA</t>
  </si>
  <si>
    <t>GERENTE DE TI</t>
  </si>
  <si>
    <t>SICOLOS &amp; COPERGÁS - CONVITE PARA O RPA &amp; IA CONGRESSO BA</t>
  </si>
  <si>
    <t>TECNICO OPERACIONAL DE OPERAÇÃO E SUPORTE DE REDE</t>
  </si>
  <si>
    <t>SUBSTITUIÇÃO EM FÉRIAS DO COLABORADOR HUGO DINIZ, LOTADO EM PETROLINA-PE.</t>
  </si>
  <si>
    <t>REUNIÃO COM O BANCO SAFRA E CAIXA ECONOMICA - SP / XIII CONGRESSO BRASILEIRO DA ABAR - SP</t>
  </si>
  <si>
    <t>SUPERVISOR FINANCEIRO</t>
  </si>
  <si>
    <t>BENCHMARKING SUPRIMENTO DE GN NA BAHIAGÁS</t>
  </si>
  <si>
    <t>CLEITON OLEGARIO DA SILVA</t>
  </si>
  <si>
    <t>SUPERVSIOR DE LOGISTICA</t>
  </si>
  <si>
    <t>VINICIUS MACEDO BEZERRA</t>
  </si>
  <si>
    <t>ENGENHEIRO DE OPERAÇÃO E SUPORTE DE REDE</t>
  </si>
  <si>
    <t>CGCR - COORDENADORIA DE GOV, CONFORM E RISCOS</t>
  </si>
  <si>
    <t>COORDENADOR DE GORVENANÇA, CONFORMIDADE E RISCOS</t>
  </si>
  <si>
    <t>VIAGEM PARA EXPOGESSO</t>
  </si>
  <si>
    <t>JUAZEIRO DO NORTE</t>
  </si>
  <si>
    <t>TIAGO LEVI DINIZ LIMA</t>
  </si>
  <si>
    <t>ASSISTENTE DO PRE</t>
  </si>
  <si>
    <t>TECNICO OPERACIONAL DE QSMS</t>
  </si>
  <si>
    <t>TREINAMENTO E INSPEÇÃO DE OBRA DA UNIFORTE (CONTRATO DTC 028/23).</t>
  </si>
  <si>
    <t>TREINAMENTO AVALIAÇÃO DOS 15 COMPROMISSOS DE SMS</t>
  </si>
  <si>
    <t>SUPERVISOR DE SEGMENTO INDUSTRIAL</t>
  </si>
  <si>
    <t>INTERNACIONAL</t>
  </si>
  <si>
    <t>ORLANDO</t>
  </si>
  <si>
    <t>GERENTE DE RH</t>
  </si>
  <si>
    <t xml:space="preserve">10º FÓRUM DE RH </t>
  </si>
  <si>
    <t>REGULATÓRIO - COMMIT</t>
  </si>
  <si>
    <t>PARTICIPAR DO  EVENTO - AGENDA TEMÁTICA XII SEMINÁRIO INTERNACIONAL FROTAS &amp; FRETES VERDES 2023.</t>
  </si>
  <si>
    <t>GIS DAY GÁS 2023</t>
  </si>
  <si>
    <t>ARARIPINA</t>
  </si>
  <si>
    <t xml:space="preserve">XII SEMINÁRIO FROTAS &amp; FRETES VERDES </t>
  </si>
  <si>
    <t>EVENTO REGULATÓRIO COMMIT/MITSUI - QUANTUM</t>
  </si>
  <si>
    <t>Avaliação dos 15 Compromissos de SMS</t>
  </si>
  <si>
    <t>PARTICIPAR DO  Evento - Agenda Temática XII Seminário Internacional Frotas &amp; Fretes Verdes 2023.</t>
  </si>
  <si>
    <t>GARTNER - IT Symposium - Xpo.2023 - October 16 - 19, 2023.</t>
  </si>
  <si>
    <t>Evento Regulatório Commit/Mitsui - Quantum</t>
  </si>
  <si>
    <t>ASSEMBLEIA GERAL E CONSELHO DE ADMINISTRAÇÃO - ABEGÁS.</t>
  </si>
  <si>
    <t>JOSÉ EUDES LIMA UCHOA</t>
  </si>
  <si>
    <t>COORDENADOR DA SECRETARIA GERAL</t>
  </si>
  <si>
    <t xml:space="preserve">Jantar de Confraternização dos Associados, a convite da COMMIT GÁS </t>
  </si>
  <si>
    <t>VISITA NA SCANIA E MWM</t>
  </si>
  <si>
    <t>REUNIÃO NORGÁS.</t>
  </si>
  <si>
    <t>Reunião GT Contabilidade</t>
  </si>
  <si>
    <t>VIAGEM FISCALIZAÇÃO DE OBRAS EM PETROLINA</t>
  </si>
  <si>
    <t>SUPERVISOR DO SEGMENTO INDUSTRIAL</t>
  </si>
  <si>
    <t>VISITA A CLIENTES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</si>
  <si>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</si>
  <si>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</si>
  <si>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</si>
  <si>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</si>
  <si>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</si>
  <si>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Gerente Comercial Veicular e Industrial</t>
  </si>
  <si>
    <t>FISCALIZAÇÃO DA OBRA DO BOLSÃO EM PEAD - UNIFORT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</si>
  <si>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</si>
  <si>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</si>
  <si>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</si>
  <si>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</si>
  <si>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ENGENHEIRO DE CONSTRUÇÃO E OBRA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</si>
  <si>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</si>
  <si>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</si>
  <si>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</si>
  <si>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</si>
  <si>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</si>
  <si>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</si>
  <si>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</si>
  <si>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</si>
  <si>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</si>
  <si>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</si>
  <si>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 xml:space="preserve"> participação NO Data &amp; Analytics (Gartner).</t>
  </si>
  <si>
    <t>BAHIA</t>
  </si>
  <si>
    <t>ABAR - participação II Encontro Nacional de agências reguladoras</t>
  </si>
  <si>
    <t>SUPERVISOR DE LOGISTICA DO GAS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</si>
  <si>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</si>
  <si>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</si>
  <si>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</si>
  <si>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</si>
  <si>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</si>
  <si>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</si>
  <si>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ENGENHEIRO DE OPERAÇÃO E SUPORTE À REDE</t>
  </si>
  <si>
    <t>DANILLO RAMOS CAMARGO</t>
  </si>
  <si>
    <t>VISITA ARARIPINA / PETROLINA</t>
  </si>
  <si>
    <t>COORDENADORA DE QSMS</t>
  </si>
  <si>
    <t>ANDREA MOURA BEZERRA DE MENEZES</t>
  </si>
  <si>
    <t xml:space="preserve"> REUNIÃO NA SCANIA COM GOVERNO DE PE.</t>
  </si>
  <si>
    <t>Visita  Planta de Liquefação  da Eneva</t>
  </si>
  <si>
    <t>TERESINA</t>
  </si>
  <si>
    <t>Participação em evento.</t>
  </si>
  <si>
    <t>SUPERVISOR DE SEGMENTO VEICULAR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</si>
  <si>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</si>
  <si>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</si>
  <si>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</si>
  <si>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</si>
  <si>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</si>
  <si>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 xml:space="preserve">prospecção de clientes </t>
  </si>
  <si>
    <t>Participar Evento Encontro CDL's NE - Grupo Potigás.</t>
  </si>
  <si>
    <t>ASSITENTE PRE</t>
  </si>
  <si>
    <t>YECNICO OPERACIONAL DE OPERAÇÕES E SUPORTE A REDE</t>
  </si>
  <si>
    <t>Treinamento para especialista em Proteção Catódica realizado pela AMPP</t>
  </si>
  <si>
    <t>Visita a COMGÁS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</si>
  <si>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</si>
  <si>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</si>
  <si>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</si>
  <si>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</si>
  <si>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DTC - DIRETORIA TECNICO COMERCIAL</t>
  </si>
  <si>
    <t>VIAGEM PARA REUNIÕES NA PETROBRAS/ TAG E DEMAIS.... ALINHAMENTO PARA ESTRUTURAR ABEGÁS QUE FAREMOS EM RECIFE.</t>
  </si>
  <si>
    <t>REUNIÃO COM TAG E PARTICIPAÇÃO NA SERGÁS</t>
  </si>
  <si>
    <t>Origem/Destino</t>
  </si>
  <si>
    <t>GCVI - GERÊNCIA COMERCIAL VEICULAR E INDUSTRIAL</t>
  </si>
  <si>
    <t>GERENTE COMERCIAL VEICULAR E INDUSTRIAL</t>
  </si>
  <si>
    <t>Participar da Feira Latinoamericana do Transporte e reunião com a Scania.</t>
  </si>
  <si>
    <t>RECIFE X SÃO PAULO X RECIFE</t>
  </si>
  <si>
    <t>FELIPE VALENÇA DE SOUSA</t>
  </si>
  <si>
    <t>DIRETORA DAF</t>
  </si>
  <si>
    <t>CORREDOR AZUL - EMPRESA VAMOS</t>
  </si>
  <si>
    <t>RECIFE X SÃO PAULO</t>
  </si>
  <si>
    <t>SÃO PAULO X SALVADOR</t>
  </si>
  <si>
    <t>DIRETOR DTC</t>
  </si>
  <si>
    <t>SÃO PAULO X RECIFE</t>
  </si>
  <si>
    <t>RIO DE JANEIRO X RECIFE</t>
  </si>
  <si>
    <t>GFIN - GERÊNCIA FINANCEIRA</t>
  </si>
  <si>
    <t>FRANCISCO GOMES</t>
  </si>
  <si>
    <t>ANALISTA</t>
  </si>
  <si>
    <t xml:space="preserve">Reunião na Mitsui </t>
  </si>
  <si>
    <t>RECIFE X RIO DE JANEIRO X RECIFE</t>
  </si>
  <si>
    <t>EVELLYN GOMES</t>
  </si>
  <si>
    <t>GERE - GERÊNCIA DE ENGENHARIA</t>
  </si>
  <si>
    <t>DIEGO LIMA</t>
  </si>
  <si>
    <t>ENGENHEIRO DE CONTRUÇÃO DE OBRAS</t>
  </si>
  <si>
    <t>23° Fórum Empresarial LIDE</t>
  </si>
  <si>
    <t>15/0/2024</t>
  </si>
  <si>
    <t>Planta de Regaseificação da ENEVA</t>
  </si>
  <si>
    <t>RECIFE X TERESINA X RECIFE</t>
  </si>
  <si>
    <t>ASSISTENTE DTC</t>
  </si>
  <si>
    <t>Acompanhamento de TAF de 2 sistemas de cromatografia na Delmar (Salvador-BA)</t>
  </si>
  <si>
    <t>RECIFE X SALVADOR X RECIFE</t>
  </si>
  <si>
    <t>GMAR - GERÊNCIA DE MEDIÇÃO E ANÁLISE DE REDE</t>
  </si>
  <si>
    <t>COORD DE MEDIÇÃO E ANÁLISE DE REDE</t>
  </si>
  <si>
    <t>Evento (Aniversário de 30 anos da Compagás) e reunião na Compagás</t>
  </si>
  <si>
    <t>RECIFE X CURITIBA</t>
  </si>
  <si>
    <t>Reuniões em São Paulo</t>
  </si>
  <si>
    <t>CURITIBA X SÃO PAULO</t>
  </si>
  <si>
    <t>CGCR - COORD. DE GOVERNANÇA, CONFORMIDADE E RISCOS</t>
  </si>
  <si>
    <t>MANUELA MELLO</t>
  </si>
  <si>
    <t>COORD. CGCR</t>
  </si>
  <si>
    <t>RECIFE X CURITIBA x RECIFE</t>
  </si>
  <si>
    <t>Participar de reuniões.</t>
  </si>
  <si>
    <t>JACINTO SOUSA</t>
  </si>
  <si>
    <t xml:space="preserve">Gas &amp; Energy Week </t>
  </si>
  <si>
    <t>SÃO PAULO X RIO DE JANEIRO X RECIFE</t>
  </si>
  <si>
    <t>RIO DE JANEIRO X SÃO PAULO X RECIFE</t>
  </si>
  <si>
    <t>SALVADOR X RIO DE JANEIRO</t>
  </si>
  <si>
    <t>SÃO PAULO X RIO DE JANEIRO</t>
  </si>
  <si>
    <t>Reunião na Mitsui - ORÇAMENTO EMPRESARIAL 2025 2030</t>
  </si>
  <si>
    <t>GDIS - GERÊNCIA DE DISTRIBUIÇÃO</t>
  </si>
  <si>
    <t>WALTER SOUZA FILHO</t>
  </si>
  <si>
    <t>Visita técnica de instalação da ERPM da SM Gesso</t>
  </si>
  <si>
    <t>RECIFE X PETROLINA X RECIFE</t>
  </si>
  <si>
    <t>ANDERSON BOMFIM PINHEIRO</t>
  </si>
  <si>
    <t>CONSELHEIRO</t>
  </si>
  <si>
    <t>Participação do Comitê de Auditoria Estatutária</t>
  </si>
  <si>
    <t>CAMPINAS X RECIFE X CAMPINAS</t>
  </si>
  <si>
    <t>AF 59093</t>
  </si>
  <si>
    <t>RODRIGO FREITAS CAYRES</t>
  </si>
  <si>
    <t>AF 59094</t>
  </si>
  <si>
    <t>Participação da Missão Net Zero 2024 - Amcham.</t>
  </si>
  <si>
    <t>AMSTERDAN X LONDRES</t>
  </si>
  <si>
    <t>Demais trechos comprados no cartão corporativo</t>
  </si>
  <si>
    <t>LONDRES X LISBOA</t>
  </si>
  <si>
    <t>AF 59121</t>
  </si>
  <si>
    <t>Participar de reuniões e visita</t>
  </si>
  <si>
    <t>RECIFE X CAMPINAS X PRES. PRUDENTE</t>
  </si>
  <si>
    <t>AF 59122</t>
  </si>
  <si>
    <t>PRES. PRUDENTE X CAMPINAS X RECIFE</t>
  </si>
  <si>
    <t>Participar do Rio Oil &amp; Gás</t>
  </si>
  <si>
    <t>AF 59263</t>
  </si>
  <si>
    <t xml:space="preserve">BERNARDO RIBEIRO </t>
  </si>
  <si>
    <t>AF 59264</t>
  </si>
  <si>
    <t>AF 59265</t>
  </si>
  <si>
    <t>ABEGÁS - Evento O papel do Gás Natural e Biometano na Transição Energética Justa, Acessível e Sustentável</t>
  </si>
  <si>
    <t>RECIFE X BRASÍLIA X RECIFE</t>
  </si>
  <si>
    <t>AF 58269</t>
  </si>
  <si>
    <t xml:space="preserve">QSMS - </t>
  </si>
  <si>
    <t>BRUNA MACIAS</t>
  </si>
  <si>
    <t>AF 59267</t>
  </si>
  <si>
    <t>AF 59268</t>
  </si>
  <si>
    <t>AF 59281</t>
  </si>
  <si>
    <t>AF 59361</t>
  </si>
  <si>
    <t>AF 59336</t>
  </si>
  <si>
    <t>GCRC - GERêNCIA COMERCIAL RESIDENCIAL E COMERCIAL</t>
  </si>
  <si>
    <t>HUGO RAFAEL SILVEIRA</t>
  </si>
  <si>
    <t>SUPERVIDOR RESIDENCIAL</t>
  </si>
  <si>
    <t>JOÃO ALFREDO DE MORAIS GUERRA</t>
  </si>
  <si>
    <t>GERENTE GCRC</t>
  </si>
  <si>
    <t>A passagem de volta (28/08/24) irá gerar um crédito, pois o voo foi antecipado. AF 58731</t>
  </si>
  <si>
    <t>Antecipação de volta à Recife. AF 59085</t>
  </si>
  <si>
    <t>Antecipação de volta à Recife AF 59112</t>
  </si>
  <si>
    <t>SALVADOR X RIO DE JANEIRO X RECIFE</t>
  </si>
  <si>
    <t>A passagem de volta (28/08/24) irá gerar um crédito, pois o voo foi antecipado. AF 58732</t>
  </si>
  <si>
    <t>Antecipação de volta à Recife. AF 59084</t>
  </si>
  <si>
    <t>Antecipação de volta à Recife AF 59110</t>
  </si>
  <si>
    <t>AF 58799</t>
  </si>
  <si>
    <t>AF 59081. DEVIDO VIAGEM A RIBEIRÃO PRETO, FOI NECESSÁRIO MODIFICAR BILHETE ANTERIORMENTE EMITIDO REC/GIG PARA RAO/SDU.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</si>
</sst>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20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  <xf numFmtId="0" fontId="2" fillId="0" borderId="0"/>
  </cellStyleXfs>
  <cellXfs count="346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64" fontId="14" fillId="6" borderId="1" xfId="7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8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16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/>
    <xf numFmtId="164" fontId="0" fillId="0" borderId="3" xfId="7" applyFont="1" applyBorder="1" applyAlignment="1">
      <alignment horizontal="center" vertical="center"/>
    </xf>
    <xf numFmtId="0" fontId="0" fillId="9" borderId="0" xfId="0" applyFill="1"/>
    <xf numFmtId="14" fontId="0" fillId="0" borderId="3" xfId="0" applyNumberFormat="1" applyBorder="1" applyAlignment="1">
      <alignment horizontal="center" vertical="center"/>
    </xf>
    <xf numFmtId="164" fontId="14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3" xfId="0" applyFont="1" applyBorder="1"/>
    <xf numFmtId="0" fontId="15" fillId="0" borderId="3" xfId="0" applyFont="1" applyBorder="1" applyAlignment="1">
      <alignment horizontal="center" vertical="center"/>
    </xf>
    <xf numFmtId="164" fontId="0" fillId="0" borderId="3" xfId="7" applyFont="1" applyBorder="1" applyAlignment="1">
      <alignment vertical="center"/>
    </xf>
    <xf numFmtId="164" fontId="14" fillId="6" borderId="3" xfId="7" applyFont="1" applyFill="1" applyBorder="1" applyAlignment="1">
      <alignment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/>
    </xf>
    <xf numFmtId="16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4" fontId="14" fillId="11" borderId="3" xfId="7" applyFont="1" applyFill="1" applyBorder="1" applyAlignment="1">
      <alignment vertical="center" wrapText="1"/>
    </xf>
    <xf numFmtId="0" fontId="14" fillId="11" borderId="3" xfId="0" applyFont="1" applyFill="1" applyBorder="1" applyAlignment="1">
      <alignment horizontal="center" vertical="center"/>
    </xf>
    <xf numFmtId="164" fontId="14" fillId="11" borderId="3" xfId="7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/>
    </xf>
    <xf numFmtId="164" fontId="14" fillId="0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/>
    </xf>
    <xf numFmtId="169" fontId="15" fillId="0" borderId="3" xfId="7" applyNumberFormat="1" applyFont="1" applyBorder="1" applyAlignment="1">
      <alignment horizontal="center" vertical="center"/>
    </xf>
    <xf numFmtId="164" fontId="15" fillId="0" borderId="3" xfId="7" applyFont="1" applyBorder="1" applyAlignment="1">
      <alignment horizontal="center" vertical="center"/>
    </xf>
    <xf numFmtId="14" fontId="15" fillId="10" borderId="3" xfId="0" applyNumberFormat="1" applyFont="1" applyFill="1" applyBorder="1" applyAlignment="1">
      <alignment horizontal="center" vertical="center"/>
    </xf>
    <xf numFmtId="169" fontId="15" fillId="10" borderId="3" xfId="7" applyNumberFormat="1" applyFont="1" applyFill="1" applyBorder="1" applyAlignment="1">
      <alignment horizontal="center" vertical="center"/>
    </xf>
    <xf numFmtId="164" fontId="15" fillId="10" borderId="3" xfId="7" applyFont="1" applyFill="1" applyBorder="1" applyAlignment="1">
      <alignment horizontal="center" vertical="center"/>
    </xf>
    <xf numFmtId="164" fontId="15" fillId="0" borderId="3" xfId="7" applyFont="1" applyBorder="1" applyAlignment="1">
      <alignment vertical="center"/>
    </xf>
    <xf numFmtId="169" fontId="15" fillId="0" borderId="3" xfId="0" applyNumberFormat="1" applyFont="1" applyBorder="1" applyAlignment="1">
      <alignment horizontal="center" vertical="center"/>
    </xf>
    <xf numFmtId="164" fontId="15" fillId="0" borderId="13" xfId="7" applyFont="1" applyBorder="1" applyAlignment="1">
      <alignment horizontal="center" vertical="center"/>
    </xf>
    <xf numFmtId="164" fontId="15" fillId="10" borderId="3" xfId="7" applyFont="1" applyFill="1" applyBorder="1" applyAlignment="1">
      <alignment vertical="center"/>
    </xf>
    <xf numFmtId="169" fontId="15" fillId="10" borderId="3" xfId="0" applyNumberFormat="1" applyFont="1" applyFill="1" applyBorder="1" applyAlignment="1">
      <alignment horizontal="center" vertical="center"/>
    </xf>
    <xf numFmtId="169" fontId="15" fillId="0" borderId="3" xfId="7" applyNumberFormat="1" applyFont="1" applyFill="1" applyBorder="1" applyAlignment="1">
      <alignment horizontal="center" vertical="center"/>
    </xf>
    <xf numFmtId="164" fontId="15" fillId="0" borderId="3" xfId="7" applyFont="1" applyFill="1" applyBorder="1" applyAlignment="1">
      <alignment horizontal="center" vertical="center"/>
    </xf>
    <xf numFmtId="14" fontId="15" fillId="0" borderId="3" xfId="0" applyNumberFormat="1" applyFont="1" applyBorder="1"/>
    <xf numFmtId="169" fontId="15" fillId="0" borderId="0" xfId="0" applyNumberFormat="1" applyFont="1"/>
    <xf numFmtId="0" fontId="16" fillId="5" borderId="0" xfId="0" applyFont="1" applyFill="1" applyAlignment="1">
      <alignment horizontal="center" vertical="center"/>
    </xf>
    <xf numFmtId="165" fontId="16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65" fontId="9" fillId="5" borderId="0" xfId="0" applyNumberFormat="1" applyFont="1" applyFill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164" fontId="0" fillId="10" borderId="3" xfId="7" applyFont="1" applyFill="1" applyBorder="1" applyAlignment="1">
      <alignment vertical="center"/>
    </xf>
    <xf numFmtId="14" fontId="15" fillId="10" borderId="3" xfId="0" applyNumberFormat="1" applyFont="1" applyFill="1" applyBorder="1"/>
    <xf numFmtId="0" fontId="15" fillId="10" borderId="3" xfId="0" applyFont="1" applyFill="1" applyBorder="1"/>
    <xf numFmtId="0" fontId="15" fillId="10" borderId="3" xfId="0" applyFont="1" applyFill="1" applyBorder="1" applyAlignment="1">
      <alignment wrapText="1"/>
    </xf>
    <xf numFmtId="0" fontId="17" fillId="0" borderId="0" xfId="0" applyFont="1" applyAlignment="1">
      <alignment horizontal="center" vertical="center"/>
    </xf>
    <xf numFmtId="164" fontId="14" fillId="0" borderId="3" xfId="7" applyFont="1" applyFill="1" applyBorder="1" applyAlignment="1">
      <alignment vertical="center" wrapText="1"/>
    </xf>
    <xf numFmtId="169" fontId="14" fillId="0" borderId="3" xfId="7" applyNumberFormat="1" applyFont="1" applyFill="1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164" fontId="15" fillId="0" borderId="3" xfId="7" applyFont="1" applyFill="1" applyBorder="1" applyAlignment="1">
      <alignment vertical="center"/>
    </xf>
    <xf numFmtId="164" fontId="0" fillId="0" borderId="3" xfId="7" applyFont="1" applyFill="1" applyBorder="1" applyAlignment="1">
      <alignment vertical="center"/>
    </xf>
    <xf numFmtId="14" fontId="17" fillId="10" borderId="3" xfId="0" applyNumberFormat="1" applyFont="1" applyFill="1" applyBorder="1" applyAlignment="1">
      <alignment horizontal="center" vertical="center"/>
    </xf>
    <xf numFmtId="169" fontId="17" fillId="10" borderId="3" xfId="7" applyNumberFormat="1" applyFont="1" applyFill="1" applyBorder="1" applyAlignment="1">
      <alignment horizontal="center" vertical="center"/>
    </xf>
    <xf numFmtId="164" fontId="18" fillId="6" borderId="3" xfId="7" applyFont="1" applyFill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14" fontId="15" fillId="0" borderId="14" xfId="0" applyNumberFormat="1" applyFont="1" applyBorder="1" applyAlignment="1">
      <alignment horizontal="center" vertical="center"/>
    </xf>
    <xf numFmtId="169" fontId="15" fillId="0" borderId="14" xfId="7" applyNumberFormat="1" applyFont="1" applyBorder="1" applyAlignment="1">
      <alignment horizontal="center" vertical="center"/>
    </xf>
    <xf numFmtId="169" fontId="15" fillId="0" borderId="14" xfId="0" applyNumberFormat="1" applyFont="1" applyBorder="1" applyAlignment="1">
      <alignment horizontal="center" vertical="center"/>
    </xf>
    <xf numFmtId="164" fontId="17" fillId="0" borderId="14" xfId="7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164" fontId="0" fillId="0" borderId="14" xfId="7" applyFont="1" applyFill="1" applyBorder="1" applyAlignment="1">
      <alignment vertical="center"/>
    </xf>
    <xf numFmtId="164" fontId="14" fillId="0" borderId="14" xfId="7" applyFont="1" applyFill="1" applyBorder="1" applyAlignment="1">
      <alignment vertical="center" wrapText="1"/>
    </xf>
    <xf numFmtId="0" fontId="15" fillId="0" borderId="25" xfId="0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9" fontId="14" fillId="6" borderId="3" xfId="7" applyNumberFormat="1" applyFont="1" applyFill="1" applyBorder="1" applyAlignment="1">
      <alignment vertical="center" wrapText="1"/>
    </xf>
    <xf numFmtId="164" fontId="0" fillId="9" borderId="3" xfId="7" applyFont="1" applyFill="1" applyBorder="1" applyAlignment="1">
      <alignment horizontal="center" vertical="center"/>
    </xf>
    <xf numFmtId="164" fontId="0" fillId="0" borderId="3" xfId="7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9" fontId="15" fillId="0" borderId="14" xfId="7" applyNumberFormat="1" applyFont="1" applyFill="1" applyBorder="1" applyAlignment="1">
      <alignment horizontal="center" vertical="center"/>
    </xf>
    <xf numFmtId="169" fontId="17" fillId="0" borderId="14" xfId="7" applyNumberFormat="1" applyFont="1" applyFill="1" applyBorder="1" applyAlignment="1">
      <alignment horizontal="center" vertical="center"/>
    </xf>
    <xf numFmtId="169" fontId="15" fillId="0" borderId="13" xfId="7" applyNumberFormat="1" applyFont="1" applyFill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169" fontId="17" fillId="0" borderId="3" xfId="7" applyNumberFormat="1" applyFont="1" applyFill="1" applyBorder="1" applyAlignment="1">
      <alignment horizontal="center" vertical="center"/>
    </xf>
    <xf numFmtId="169" fontId="17" fillId="0" borderId="0" xfId="7" applyNumberFormat="1" applyFont="1" applyFill="1" applyAlignment="1">
      <alignment horizontal="center" vertical="center"/>
    </xf>
    <xf numFmtId="169" fontId="17" fillId="0" borderId="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169" fontId="17" fillId="0" borderId="13" xfId="7" applyNumberFormat="1" applyFont="1" applyFill="1" applyBorder="1" applyAlignment="1">
      <alignment horizontal="center" vertical="center"/>
    </xf>
    <xf numFmtId="169" fontId="17" fillId="0" borderId="13" xfId="0" applyNumberFormat="1" applyFont="1" applyBorder="1" applyAlignment="1">
      <alignment horizontal="center" vertical="center"/>
    </xf>
    <xf numFmtId="164" fontId="14" fillId="0" borderId="13" xfId="7" applyFont="1" applyFill="1" applyBorder="1" applyAlignment="1">
      <alignment vertical="center" wrapText="1"/>
    </xf>
    <xf numFmtId="165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14" fillId="6" borderId="13" xfId="7" applyFont="1" applyFill="1" applyBorder="1" applyAlignment="1">
      <alignment horizontal="center" vertical="center" wrapText="1"/>
    </xf>
    <xf numFmtId="164" fontId="14" fillId="6" borderId="14" xfId="7" applyFont="1" applyFill="1" applyBorder="1" applyAlignment="1">
      <alignment horizontal="center" vertical="center" wrapText="1"/>
    </xf>
    <xf numFmtId="16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3" xfId="7" applyFont="1" applyBorder="1" applyAlignment="1">
      <alignment horizontal="center" vertical="center"/>
    </xf>
    <xf numFmtId="164" fontId="0" fillId="0" borderId="14" xfId="7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16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164" fontId="14" fillId="6" borderId="19" xfId="7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169" fontId="16" fillId="5" borderId="2" xfId="0" applyNumberFormat="1" applyFont="1" applyFill="1" applyBorder="1" applyAlignment="1">
      <alignment horizontal="center" vertical="center"/>
    </xf>
    <xf numFmtId="169" fontId="16" fillId="5" borderId="23" xfId="0" applyNumberFormat="1" applyFont="1" applyFill="1" applyBorder="1" applyAlignment="1">
      <alignment horizontal="center" vertical="center"/>
    </xf>
    <xf numFmtId="169" fontId="16" fillId="5" borderId="1" xfId="0" applyNumberFormat="1" applyFont="1" applyFill="1" applyBorder="1" applyAlignment="1">
      <alignment horizontal="center" vertical="center"/>
    </xf>
    <xf numFmtId="169" fontId="16" fillId="5" borderId="5" xfId="0" applyNumberFormat="1" applyFont="1" applyFill="1" applyBorder="1" applyAlignment="1">
      <alignment horizontal="center" vertical="center"/>
    </xf>
    <xf numFmtId="165" fontId="16" fillId="5" borderId="1" xfId="0" applyNumberFormat="1" applyFont="1" applyFill="1" applyBorder="1" applyAlignment="1">
      <alignment horizontal="center" vertical="center"/>
    </xf>
    <xf numFmtId="165" fontId="16" fillId="5" borderId="5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164" fontId="15" fillId="0" borderId="13" xfId="7" applyFont="1" applyBorder="1" applyAlignment="1">
      <alignment horizontal="center" vertical="center"/>
    </xf>
    <xf numFmtId="164" fontId="15" fillId="0" borderId="19" xfId="7" applyFont="1" applyBorder="1" applyAlignment="1">
      <alignment horizontal="center" vertical="center"/>
    </xf>
    <xf numFmtId="164" fontId="15" fillId="0" borderId="14" xfId="7" applyFont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169" fontId="17" fillId="10" borderId="13" xfId="7" applyNumberFormat="1" applyFont="1" applyFill="1" applyBorder="1" applyAlignment="1">
      <alignment horizontal="center" vertical="center"/>
    </xf>
    <xf numFmtId="169" fontId="17" fillId="10" borderId="14" xfId="7" applyNumberFormat="1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15" fillId="12" borderId="13" xfId="0" applyFont="1" applyFill="1" applyBorder="1" applyAlignment="1">
      <alignment horizontal="center" vertical="center"/>
    </xf>
    <xf numFmtId="0" fontId="15" fillId="12" borderId="19" xfId="0" applyFont="1" applyFill="1" applyBorder="1" applyAlignment="1">
      <alignment horizontal="center" vertical="center"/>
    </xf>
    <xf numFmtId="0" fontId="15" fillId="12" borderId="14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 wrapText="1"/>
    </xf>
    <xf numFmtId="0" fontId="15" fillId="10" borderId="14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17" fillId="10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70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42917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43252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8.2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43282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>
      <c r="A22" s="195" t="s">
        <v>272</v>
      </c>
      <c r="B22" s="195" t="s">
        <v>272</v>
      </c>
      <c r="C22" s="197" t="s">
        <v>79</v>
      </c>
      <c r="D22" s="191" t="s">
        <v>107</v>
      </c>
      <c r="E22" s="193" t="s">
        <v>80</v>
      </c>
      <c r="F22" s="195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03">
        <v>0</v>
      </c>
      <c r="R22" s="199">
        <v>0</v>
      </c>
      <c r="S22" s="205">
        <v>0</v>
      </c>
      <c r="T22" s="199">
        <v>0</v>
      </c>
      <c r="U22" s="206">
        <f t="shared" si="1"/>
        <v>0</v>
      </c>
      <c r="V22" s="199">
        <f>P22+P23</f>
        <v>1406.06</v>
      </c>
      <c r="W22" s="200">
        <f t="shared" si="3"/>
        <v>1406.06</v>
      </c>
      <c r="X22" s="202"/>
    </row>
    <row r="23" spans="1:24" ht="38.25" customHeight="1">
      <c r="A23" s="196"/>
      <c r="B23" s="196"/>
      <c r="C23" s="198"/>
      <c r="D23" s="192"/>
      <c r="E23" s="194"/>
      <c r="F23" s="196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04"/>
      <c r="R23" s="199"/>
      <c r="S23" s="205"/>
      <c r="T23" s="199"/>
      <c r="U23" s="206"/>
      <c r="V23" s="199"/>
      <c r="W23" s="201"/>
      <c r="X23" s="202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43313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38.2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43344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38.25">
      <c r="A10" s="34" t="s">
        <v>253</v>
      </c>
      <c r="B10" s="34" t="s">
        <v>288</v>
      </c>
      <c r="C10" s="50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>
      <c r="A16" s="195" t="s">
        <v>253</v>
      </c>
      <c r="B16" s="195" t="s">
        <v>253</v>
      </c>
      <c r="C16" s="197" t="s">
        <v>320</v>
      </c>
      <c r="D16" s="191" t="s">
        <v>321</v>
      </c>
      <c r="E16" s="193" t="s">
        <v>78</v>
      </c>
      <c r="F16" s="195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213">
        <v>43356</v>
      </c>
      <c r="M16" s="213">
        <v>43357</v>
      </c>
      <c r="N16" s="31">
        <f>1465.14/2</f>
        <v>732.57</v>
      </c>
      <c r="O16" s="31"/>
      <c r="P16" s="209">
        <f>N16+O17</f>
        <v>1465.14</v>
      </c>
      <c r="Q16" s="197">
        <v>2</v>
      </c>
      <c r="R16" s="209">
        <v>120</v>
      </c>
      <c r="S16" s="197">
        <v>0</v>
      </c>
      <c r="T16" s="209">
        <v>0</v>
      </c>
      <c r="U16" s="211">
        <f t="shared" si="1"/>
        <v>240</v>
      </c>
      <c r="V16" s="209">
        <f t="shared" si="2"/>
        <v>1705.14</v>
      </c>
      <c r="W16" s="209">
        <f t="shared" si="3"/>
        <v>1705.14</v>
      </c>
      <c r="X16" s="207"/>
    </row>
    <row r="17" spans="1:24" ht="14.25">
      <c r="A17" s="196"/>
      <c r="B17" s="196"/>
      <c r="C17" s="198"/>
      <c r="D17" s="192"/>
      <c r="E17" s="194"/>
      <c r="F17" s="196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214"/>
      <c r="M17" s="214"/>
      <c r="N17" s="31"/>
      <c r="O17" s="31">
        <f>1465.14/2</f>
        <v>732.57</v>
      </c>
      <c r="P17" s="210"/>
      <c r="Q17" s="198"/>
      <c r="R17" s="210"/>
      <c r="S17" s="198"/>
      <c r="T17" s="210"/>
      <c r="U17" s="212"/>
      <c r="V17" s="210"/>
      <c r="W17" s="210"/>
      <c r="X17" s="208"/>
    </row>
    <row r="18" spans="1:24" ht="38.2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43374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34" t="s">
        <v>253</v>
      </c>
      <c r="B10" s="34" t="s">
        <v>288</v>
      </c>
      <c r="C10" s="50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43405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>
      <c r="A20" s="34" t="s">
        <v>231</v>
      </c>
      <c r="B20" s="34" t="s">
        <v>231</v>
      </c>
      <c r="C20" s="40" t="s">
        <v>86</v>
      </c>
      <c r="D20" s="51" t="s">
        <v>77</v>
      </c>
      <c r="E20" s="20" t="s">
        <v>87</v>
      </c>
      <c r="F20" s="34" t="s">
        <v>381</v>
      </c>
      <c r="G20" s="30" t="s">
        <v>36</v>
      </c>
      <c r="H20" s="40" t="s">
        <v>37</v>
      </c>
      <c r="I20" s="40" t="s">
        <v>38</v>
      </c>
      <c r="J20" s="40" t="s">
        <v>39</v>
      </c>
      <c r="K20" s="39" t="s">
        <v>40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>
      <c r="A21" s="220" t="s">
        <v>371</v>
      </c>
      <c r="B21" s="220" t="s">
        <v>371</v>
      </c>
      <c r="C21" s="205" t="s">
        <v>79</v>
      </c>
      <c r="D21" s="215" t="s">
        <v>77</v>
      </c>
      <c r="E21" s="216" t="s">
        <v>80</v>
      </c>
      <c r="F21" s="217" t="s">
        <v>382</v>
      </c>
      <c r="G21" s="218" t="s">
        <v>36</v>
      </c>
      <c r="H21" s="47" t="s">
        <v>37</v>
      </c>
      <c r="I21" s="47" t="s">
        <v>38</v>
      </c>
      <c r="J21" s="47" t="s">
        <v>39</v>
      </c>
      <c r="K21" s="45" t="s">
        <v>40</v>
      </c>
      <c r="L21" s="219">
        <v>43433</v>
      </c>
      <c r="M21" s="219">
        <v>43434</v>
      </c>
      <c r="N21" s="228">
        <f>1395.23/2</f>
        <v>697.61500000000001</v>
      </c>
      <c r="O21" s="226">
        <f>1395.23/2</f>
        <v>697.61500000000001</v>
      </c>
      <c r="P21" s="222">
        <f t="shared" si="0"/>
        <v>697.61500000000001</v>
      </c>
      <c r="Q21" s="205">
        <v>0</v>
      </c>
      <c r="R21" s="222">
        <v>0</v>
      </c>
      <c r="S21" s="205">
        <v>0</v>
      </c>
      <c r="T21" s="222">
        <v>0</v>
      </c>
      <c r="U21" s="223">
        <f t="shared" si="1"/>
        <v>0</v>
      </c>
      <c r="V21" s="209">
        <f t="shared" si="2"/>
        <v>697.61500000000001</v>
      </c>
      <c r="W21" s="226">
        <f t="shared" si="3"/>
        <v>697.61500000000001</v>
      </c>
      <c r="X21" s="219"/>
    </row>
    <row r="22" spans="1:24" ht="26.25" customHeight="1">
      <c r="A22" s="221"/>
      <c r="B22" s="221"/>
      <c r="C22" s="205"/>
      <c r="D22" s="215"/>
      <c r="E22" s="216"/>
      <c r="F22" s="217"/>
      <c r="G22" s="218"/>
      <c r="H22" s="47" t="s">
        <v>39</v>
      </c>
      <c r="I22" s="45" t="s">
        <v>40</v>
      </c>
      <c r="J22" s="47" t="s">
        <v>116</v>
      </c>
      <c r="K22" s="45" t="s">
        <v>117</v>
      </c>
      <c r="L22" s="219"/>
      <c r="M22" s="219"/>
      <c r="N22" s="229"/>
      <c r="O22" s="227"/>
      <c r="P22" s="222">
        <f t="shared" si="0"/>
        <v>0</v>
      </c>
      <c r="Q22" s="205"/>
      <c r="R22" s="222"/>
      <c r="S22" s="205"/>
      <c r="T22" s="222"/>
      <c r="U22" s="224"/>
      <c r="V22" s="225"/>
      <c r="W22" s="227"/>
      <c r="X22" s="219"/>
    </row>
    <row r="23" spans="1:24" ht="25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>
      <c r="A25" s="34" t="s">
        <v>253</v>
      </c>
      <c r="B25" s="34" t="s">
        <v>253</v>
      </c>
      <c r="C25" s="47" t="s">
        <v>320</v>
      </c>
      <c r="D25" s="56" t="s">
        <v>321</v>
      </c>
      <c r="E25" s="20" t="s">
        <v>343</v>
      </c>
      <c r="F25" s="53" t="s">
        <v>386</v>
      </c>
      <c r="G25" s="55" t="s">
        <v>36</v>
      </c>
      <c r="H25" s="47" t="s">
        <v>37</v>
      </c>
      <c r="I25" s="47" t="s">
        <v>38</v>
      </c>
      <c r="J25" s="27" t="s">
        <v>39</v>
      </c>
      <c r="K25" s="31" t="s">
        <v>40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53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43435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5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>
      <c r="A13" s="34" t="s">
        <v>231</v>
      </c>
      <c r="B13" s="34" t="s">
        <v>231</v>
      </c>
      <c r="C13" s="27" t="s">
        <v>86</v>
      </c>
      <c r="D13" s="5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>
      <c r="A15" s="34" t="s">
        <v>253</v>
      </c>
      <c r="B15" s="34" t="s">
        <v>253</v>
      </c>
      <c r="C15" s="27" t="s">
        <v>320</v>
      </c>
      <c r="D15" s="5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43466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38.2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5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>
      <c r="A19" s="34" t="s">
        <v>231</v>
      </c>
      <c r="B19" s="34" t="s">
        <v>231</v>
      </c>
      <c r="C19" s="49" t="s">
        <v>86</v>
      </c>
      <c r="D19" s="56" t="s">
        <v>77</v>
      </c>
      <c r="E19" s="61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43497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5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43525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56" t="s">
        <v>77</v>
      </c>
      <c r="E12" s="61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>
      <c r="A19" s="34" t="s">
        <v>253</v>
      </c>
      <c r="B19" s="34" t="s">
        <v>253</v>
      </c>
      <c r="C19" s="34" t="s">
        <v>320</v>
      </c>
      <c r="D19" s="5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42948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38.2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43556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34" t="s">
        <v>253</v>
      </c>
      <c r="B10" s="34" t="s">
        <v>253</v>
      </c>
      <c r="C10" s="34" t="s">
        <v>320</v>
      </c>
      <c r="D10" s="5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>
      <c r="A11" s="34" t="s">
        <v>253</v>
      </c>
      <c r="B11" s="34" t="s">
        <v>212</v>
      </c>
      <c r="C11" s="34" t="s">
        <v>387</v>
      </c>
      <c r="D11" s="5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5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43564</v>
      </c>
      <c r="M12" s="62" t="s">
        <v>421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43564</v>
      </c>
      <c r="M13" s="62" t="s">
        <v>421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>
      <c r="A16" s="34" t="s">
        <v>253</v>
      </c>
      <c r="B16" s="34" t="s">
        <v>253</v>
      </c>
      <c r="C16" s="34" t="s">
        <v>320</v>
      </c>
      <c r="D16" s="5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43586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>
      <c r="A11" s="34" t="s">
        <v>231</v>
      </c>
      <c r="B11" s="34" t="s">
        <v>215</v>
      </c>
      <c r="C11" s="34" t="s">
        <v>58</v>
      </c>
      <c r="D11" s="5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>
      <c r="A13" s="34" t="s">
        <v>253</v>
      </c>
      <c r="B13" s="34" t="s">
        <v>253</v>
      </c>
      <c r="C13" s="34" t="s">
        <v>320</v>
      </c>
      <c r="D13" s="5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62">
        <v>43605</v>
      </c>
      <c r="M14" s="62" t="s">
        <v>432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>
      <c r="A18" s="34" t="s">
        <v>231</v>
      </c>
      <c r="B18" s="34" t="s">
        <v>310</v>
      </c>
      <c r="C18" s="34" t="s">
        <v>439</v>
      </c>
      <c r="D18" s="5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>
      <c r="A19" s="34" t="s">
        <v>231</v>
      </c>
      <c r="B19" s="34" t="s">
        <v>310</v>
      </c>
      <c r="C19" s="34" t="s">
        <v>443</v>
      </c>
      <c r="D19" s="5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>
      <c r="A22" s="34" t="s">
        <v>253</v>
      </c>
      <c r="B22" s="34" t="s">
        <v>212</v>
      </c>
      <c r="C22" s="34" t="s">
        <v>387</v>
      </c>
      <c r="D22" s="5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43617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14.2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>
      <c r="A11" s="34" t="s">
        <v>253</v>
      </c>
      <c r="B11" s="34" t="s">
        <v>253</v>
      </c>
      <c r="C11" s="34" t="s">
        <v>223</v>
      </c>
      <c r="D11" s="5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>
      <c r="A13" s="34" t="s">
        <v>231</v>
      </c>
      <c r="B13" s="34" t="s">
        <v>450</v>
      </c>
      <c r="C13" s="34" t="s">
        <v>451</v>
      </c>
      <c r="D13" s="5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>
      <c r="A18" s="34" t="s">
        <v>231</v>
      </c>
      <c r="B18" s="34" t="s">
        <v>221</v>
      </c>
      <c r="C18" s="34" t="s">
        <v>54</v>
      </c>
      <c r="D18" s="5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>
      <c r="A19" s="34" t="s">
        <v>371</v>
      </c>
      <c r="B19" s="34" t="s">
        <v>226</v>
      </c>
      <c r="C19" s="34" t="s">
        <v>206</v>
      </c>
      <c r="D19" s="5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>
      <c r="A20" s="34" t="s">
        <v>371</v>
      </c>
      <c r="B20" s="34" t="s">
        <v>371</v>
      </c>
      <c r="C20" s="65" t="s">
        <v>79</v>
      </c>
      <c r="D20" s="51"/>
      <c r="E20" s="64"/>
      <c r="F20" s="65" t="s">
        <v>453</v>
      </c>
      <c r="G20" s="65" t="s">
        <v>36</v>
      </c>
      <c r="H20" s="65" t="s">
        <v>37</v>
      </c>
      <c r="I20" s="65" t="s">
        <v>38</v>
      </c>
      <c r="J20" s="65" t="s">
        <v>39</v>
      </c>
      <c r="K20" s="65" t="s">
        <v>40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>
      <c r="A21" s="220" t="s">
        <v>253</v>
      </c>
      <c r="B21" s="220" t="s">
        <v>253</v>
      </c>
      <c r="C21" s="217" t="s">
        <v>320</v>
      </c>
      <c r="D21" s="215"/>
      <c r="E21" s="216"/>
      <c r="F21" s="217" t="s">
        <v>454</v>
      </c>
      <c r="G21" s="217" t="s">
        <v>36</v>
      </c>
      <c r="H21" s="53" t="s">
        <v>116</v>
      </c>
      <c r="I21" s="53" t="s">
        <v>117</v>
      </c>
      <c r="J21" s="53" t="s">
        <v>39</v>
      </c>
      <c r="K21" s="53" t="s">
        <v>40</v>
      </c>
      <c r="L21" s="69">
        <v>43629</v>
      </c>
      <c r="M21" s="69">
        <v>43630</v>
      </c>
      <c r="N21" s="231">
        <f>3129.35/2</f>
        <v>1564.675</v>
      </c>
      <c r="O21" s="231">
        <f>3129.35/2</f>
        <v>1564.675</v>
      </c>
      <c r="P21" s="231">
        <v>1925.28</v>
      </c>
      <c r="Q21" s="217">
        <v>2</v>
      </c>
      <c r="R21" s="231">
        <v>120</v>
      </c>
      <c r="S21" s="231">
        <v>0</v>
      </c>
      <c r="T21" s="231">
        <v>0</v>
      </c>
      <c r="U21" s="232">
        <f t="shared" ref="U21" si="4">(Q21*R21)+(S21*T21)</f>
        <v>240</v>
      </c>
      <c r="V21" s="235">
        <f t="shared" ref="V21" si="5">U21+P21</f>
        <v>2165.2799999999997</v>
      </c>
      <c r="W21" s="238">
        <f t="shared" si="3"/>
        <v>2165.2799999999997</v>
      </c>
      <c r="X21" s="231"/>
    </row>
    <row r="22" spans="1:24" ht="14.25">
      <c r="A22" s="230"/>
      <c r="B22" s="230"/>
      <c r="C22" s="217"/>
      <c r="D22" s="215"/>
      <c r="E22" s="216"/>
      <c r="F22" s="217"/>
      <c r="G22" s="217"/>
      <c r="H22" s="53" t="s">
        <v>39</v>
      </c>
      <c r="I22" s="53" t="s">
        <v>40</v>
      </c>
      <c r="J22" s="53" t="s">
        <v>127</v>
      </c>
      <c r="K22" s="53" t="s">
        <v>63</v>
      </c>
      <c r="L22" s="69">
        <v>43630</v>
      </c>
      <c r="M22" s="69">
        <v>43633</v>
      </c>
      <c r="N22" s="231"/>
      <c r="O22" s="231"/>
      <c r="P22" s="231"/>
      <c r="Q22" s="217"/>
      <c r="R22" s="231"/>
      <c r="S22" s="231"/>
      <c r="T22" s="231"/>
      <c r="U22" s="233"/>
      <c r="V22" s="236"/>
      <c r="W22" s="239"/>
      <c r="X22" s="231"/>
    </row>
    <row r="23" spans="1:24" ht="15" customHeight="1">
      <c r="A23" s="221"/>
      <c r="B23" s="221"/>
      <c r="C23" s="217"/>
      <c r="D23" s="215"/>
      <c r="E23" s="216"/>
      <c r="F23" s="217"/>
      <c r="G23" s="217"/>
      <c r="H23" s="53" t="s">
        <v>127</v>
      </c>
      <c r="I23" s="53" t="s">
        <v>63</v>
      </c>
      <c r="J23" s="53" t="s">
        <v>37</v>
      </c>
      <c r="K23" s="53" t="s">
        <v>38</v>
      </c>
      <c r="L23" s="69">
        <v>43633</v>
      </c>
      <c r="M23" s="69">
        <v>43633</v>
      </c>
      <c r="N23" s="231"/>
      <c r="O23" s="231"/>
      <c r="P23" s="231"/>
      <c r="Q23" s="217"/>
      <c r="R23" s="231"/>
      <c r="S23" s="231"/>
      <c r="T23" s="231"/>
      <c r="U23" s="234"/>
      <c r="V23" s="237"/>
      <c r="W23" s="240"/>
      <c r="X23" s="231"/>
    </row>
    <row r="24" spans="1:24" ht="45" customHeight="1">
      <c r="A24" s="34" t="s">
        <v>253</v>
      </c>
      <c r="B24" s="34" t="s">
        <v>322</v>
      </c>
      <c r="C24" s="34" t="s">
        <v>350</v>
      </c>
      <c r="D24" s="44"/>
      <c r="E24" s="44"/>
      <c r="F24" s="65" t="s">
        <v>455</v>
      </c>
      <c r="G24" s="65" t="s">
        <v>36</v>
      </c>
      <c r="H24" s="65" t="s">
        <v>37</v>
      </c>
      <c r="I24" s="65" t="s">
        <v>38</v>
      </c>
      <c r="J24" s="34" t="s">
        <v>39</v>
      </c>
      <c r="K24" s="34" t="s">
        <v>40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>
      <c r="A25" s="34" t="s">
        <v>253</v>
      </c>
      <c r="B25" s="34" t="s">
        <v>322</v>
      </c>
      <c r="C25" s="34" t="s">
        <v>456</v>
      </c>
      <c r="D25" s="44"/>
      <c r="E25" s="44"/>
      <c r="F25" s="65" t="s">
        <v>455</v>
      </c>
      <c r="G25" s="65" t="s">
        <v>36</v>
      </c>
      <c r="H25" s="65" t="s">
        <v>37</v>
      </c>
      <c r="I25" s="65" t="s">
        <v>38</v>
      </c>
      <c r="J25" s="34" t="s">
        <v>39</v>
      </c>
      <c r="K25" s="34" t="s">
        <v>40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>
      <c r="A26" s="34" t="s">
        <v>253</v>
      </c>
      <c r="B26" s="34" t="s">
        <v>322</v>
      </c>
      <c r="C26" s="34" t="s">
        <v>457</v>
      </c>
      <c r="D26" s="44"/>
      <c r="E26" s="44"/>
      <c r="F26" s="65" t="s">
        <v>455</v>
      </c>
      <c r="G26" s="65" t="s">
        <v>36</v>
      </c>
      <c r="H26" s="65" t="s">
        <v>37</v>
      </c>
      <c r="I26" s="65" t="s">
        <v>38</v>
      </c>
      <c r="J26" s="34" t="s">
        <v>39</v>
      </c>
      <c r="K26" s="34" t="s">
        <v>40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>
      <c r="A27" s="34" t="s">
        <v>253</v>
      </c>
      <c r="B27" s="34" t="s">
        <v>322</v>
      </c>
      <c r="C27" s="34" t="s">
        <v>458</v>
      </c>
      <c r="D27" s="44"/>
      <c r="E27" s="44"/>
      <c r="F27" s="65" t="s">
        <v>455</v>
      </c>
      <c r="G27" s="65" t="s">
        <v>36</v>
      </c>
      <c r="H27" s="65" t="s">
        <v>37</v>
      </c>
      <c r="I27" s="65" t="s">
        <v>38</v>
      </c>
      <c r="J27" s="34" t="s">
        <v>39</v>
      </c>
      <c r="K27" s="34" t="s">
        <v>40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>
      <c r="A28" s="34" t="s">
        <v>253</v>
      </c>
      <c r="B28" s="34" t="s">
        <v>288</v>
      </c>
      <c r="C28" s="34" t="s">
        <v>459</v>
      </c>
      <c r="D28" s="44"/>
      <c r="E28" s="44"/>
      <c r="F28" s="65" t="s">
        <v>455</v>
      </c>
      <c r="G28" s="65" t="s">
        <v>36</v>
      </c>
      <c r="H28" s="65" t="s">
        <v>37</v>
      </c>
      <c r="I28" s="65" t="s">
        <v>38</v>
      </c>
      <c r="J28" s="34" t="s">
        <v>39</v>
      </c>
      <c r="K28" s="34" t="s">
        <v>40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>
      <c r="A29" s="34" t="s">
        <v>253</v>
      </c>
      <c r="B29" s="34" t="s">
        <v>288</v>
      </c>
      <c r="C29" s="34" t="s">
        <v>378</v>
      </c>
      <c r="D29" s="44"/>
      <c r="E29" s="44"/>
      <c r="F29" s="53" t="s">
        <v>455</v>
      </c>
      <c r="G29" s="53" t="s">
        <v>36</v>
      </c>
      <c r="H29" s="53" t="s">
        <v>37</v>
      </c>
      <c r="I29" s="53" t="s">
        <v>38</v>
      </c>
      <c r="J29" s="34" t="s">
        <v>39</v>
      </c>
      <c r="K29" s="34" t="s">
        <v>40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72">
        <v>43586</v>
      </c>
    </row>
    <row r="6" spans="1:47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47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241" t="s">
        <v>8</v>
      </c>
    </row>
    <row r="8" spans="1:47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24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24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371</v>
      </c>
      <c r="B10" s="322" t="s">
        <v>240</v>
      </c>
      <c r="C10" s="322" t="s">
        <v>448</v>
      </c>
      <c r="D10" s="29" t="s">
        <v>460</v>
      </c>
      <c r="E10" s="20" t="s">
        <v>60</v>
      </c>
      <c r="F10" s="53" t="s">
        <v>461</v>
      </c>
      <c r="G10" s="53" t="s">
        <v>36</v>
      </c>
      <c r="H10" s="53" t="s">
        <v>37</v>
      </c>
      <c r="I10" s="53" t="s">
        <v>38</v>
      </c>
      <c r="J10" s="53" t="s">
        <v>148</v>
      </c>
      <c r="K10" s="53" t="s">
        <v>183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371</v>
      </c>
      <c r="B11" s="322" t="s">
        <v>240</v>
      </c>
      <c r="C11" s="322" t="s">
        <v>140</v>
      </c>
      <c r="D11" s="29" t="s">
        <v>141</v>
      </c>
      <c r="E11" s="20" t="s">
        <v>411</v>
      </c>
      <c r="F11" s="53" t="s">
        <v>461</v>
      </c>
      <c r="G11" s="53" t="s">
        <v>36</v>
      </c>
      <c r="H11" s="53" t="s">
        <v>37</v>
      </c>
      <c r="I11" s="53" t="s">
        <v>38</v>
      </c>
      <c r="J11" s="53" t="s">
        <v>148</v>
      </c>
      <c r="K11" s="53" t="s">
        <v>183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53" t="s">
        <v>231</v>
      </c>
      <c r="B12" s="322" t="s">
        <v>221</v>
      </c>
      <c r="C12" s="322" t="s">
        <v>54</v>
      </c>
      <c r="D12" s="29" t="s">
        <v>88</v>
      </c>
      <c r="E12" s="20" t="s">
        <v>55</v>
      </c>
      <c r="F12" s="53" t="s">
        <v>461</v>
      </c>
      <c r="G12" s="53" t="s">
        <v>36</v>
      </c>
      <c r="H12" s="53" t="s">
        <v>37</v>
      </c>
      <c r="I12" s="53" t="s">
        <v>38</v>
      </c>
      <c r="J12" s="53" t="s">
        <v>148</v>
      </c>
      <c r="K12" s="53" t="s">
        <v>183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>
      <c r="A13" s="53" t="s">
        <v>231</v>
      </c>
      <c r="B13" s="322" t="s">
        <v>462</v>
      </c>
      <c r="C13" s="322" t="s">
        <v>401</v>
      </c>
      <c r="D13" s="56" t="s">
        <v>402</v>
      </c>
      <c r="E13" s="66" t="s">
        <v>403</v>
      </c>
      <c r="F13" s="53" t="s">
        <v>463</v>
      </c>
      <c r="G13" s="53" t="s">
        <v>36</v>
      </c>
      <c r="H13" s="53" t="s">
        <v>37</v>
      </c>
      <c r="I13" s="53" t="s">
        <v>38</v>
      </c>
      <c r="J13" s="53" t="s">
        <v>464</v>
      </c>
      <c r="K13" s="53" t="s">
        <v>425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53" t="s">
        <v>231</v>
      </c>
      <c r="B14" s="322" t="s">
        <v>229</v>
      </c>
      <c r="C14" s="322" t="s">
        <v>246</v>
      </c>
      <c r="D14" s="56" t="s">
        <v>247</v>
      </c>
      <c r="E14" s="66" t="s">
        <v>341</v>
      </c>
      <c r="F14" s="53" t="s">
        <v>465</v>
      </c>
      <c r="G14" s="53" t="s">
        <v>36</v>
      </c>
      <c r="H14" s="53" t="s">
        <v>37</v>
      </c>
      <c r="I14" s="53" t="s">
        <v>38</v>
      </c>
      <c r="J14" s="53" t="s">
        <v>39</v>
      </c>
      <c r="K14" s="53" t="s">
        <v>40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 t="s">
        <v>371</v>
      </c>
      <c r="B15" s="322" t="s">
        <v>396</v>
      </c>
      <c r="C15" s="322" t="s">
        <v>466</v>
      </c>
      <c r="D15" s="56" t="s">
        <v>467</v>
      </c>
      <c r="E15" s="66" t="s">
        <v>468</v>
      </c>
      <c r="F15" s="53" t="s">
        <v>469</v>
      </c>
      <c r="G15" s="53" t="s">
        <v>36</v>
      </c>
      <c r="H15" s="53" t="s">
        <v>37</v>
      </c>
      <c r="I15" s="53" t="s">
        <v>38</v>
      </c>
      <c r="J15" s="53" t="s">
        <v>148</v>
      </c>
      <c r="K15" s="53" t="s">
        <v>183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>
      <c r="A16" s="53" t="s">
        <v>371</v>
      </c>
      <c r="B16" s="322" t="s">
        <v>371</v>
      </c>
      <c r="C16" s="322" t="s">
        <v>79</v>
      </c>
      <c r="D16" s="29" t="s">
        <v>77</v>
      </c>
      <c r="E16" s="20" t="s">
        <v>80</v>
      </c>
      <c r="F16" s="53" t="s">
        <v>470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>
      <c r="A17" s="53" t="s">
        <v>371</v>
      </c>
      <c r="B17" s="322" t="s">
        <v>226</v>
      </c>
      <c r="C17" s="322" t="s">
        <v>46</v>
      </c>
      <c r="D17" s="29" t="s">
        <v>69</v>
      </c>
      <c r="E17" s="20" t="s">
        <v>47</v>
      </c>
      <c r="F17" s="53" t="s">
        <v>471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>
      <c r="A18" s="53" t="s">
        <v>371</v>
      </c>
      <c r="B18" s="322" t="s">
        <v>226</v>
      </c>
      <c r="C18" s="322" t="s">
        <v>206</v>
      </c>
      <c r="D18" s="29" t="s">
        <v>207</v>
      </c>
      <c r="E18" s="20" t="s">
        <v>208</v>
      </c>
      <c r="F18" s="53" t="s">
        <v>472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371</v>
      </c>
      <c r="B19" s="322" t="s">
        <v>226</v>
      </c>
      <c r="C19" s="322" t="s">
        <v>473</v>
      </c>
      <c r="D19" s="29" t="s">
        <v>474</v>
      </c>
      <c r="E19" s="20" t="s">
        <v>475</v>
      </c>
      <c r="F19" s="53" t="s">
        <v>472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371</v>
      </c>
      <c r="B20" s="322" t="s">
        <v>396</v>
      </c>
      <c r="C20" s="322" t="s">
        <v>466</v>
      </c>
      <c r="D20" s="56" t="s">
        <v>467</v>
      </c>
      <c r="E20" s="66" t="s">
        <v>468</v>
      </c>
      <c r="F20" s="53" t="s">
        <v>470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>
      <c r="A21" s="53" t="s">
        <v>371</v>
      </c>
      <c r="B21" s="322" t="s">
        <v>396</v>
      </c>
      <c r="C21" s="322" t="s">
        <v>466</v>
      </c>
      <c r="D21" s="56" t="s">
        <v>467</v>
      </c>
      <c r="E21" s="66" t="s">
        <v>468</v>
      </c>
      <c r="F21" s="53" t="s">
        <v>476</v>
      </c>
      <c r="G21" s="53" t="s">
        <v>36</v>
      </c>
      <c r="H21" s="53" t="s">
        <v>37</v>
      </c>
      <c r="I21" s="53" t="s">
        <v>38</v>
      </c>
      <c r="J21" s="53" t="s">
        <v>116</v>
      </c>
      <c r="K21" s="53" t="s">
        <v>117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>
      <c r="A22" s="53" t="s">
        <v>371</v>
      </c>
      <c r="B22" s="322" t="s">
        <v>396</v>
      </c>
      <c r="C22" s="322" t="s">
        <v>267</v>
      </c>
      <c r="D22" s="29" t="s">
        <v>145</v>
      </c>
      <c r="E22" s="20" t="s">
        <v>399</v>
      </c>
      <c r="F22" s="53" t="s">
        <v>470</v>
      </c>
      <c r="G22" s="53" t="s">
        <v>36</v>
      </c>
      <c r="H22" s="53" t="s">
        <v>37</v>
      </c>
      <c r="I22" s="53" t="s">
        <v>38</v>
      </c>
      <c r="J22" s="53" t="s">
        <v>318</v>
      </c>
      <c r="K22" s="53" t="s">
        <v>40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>
      <c r="A23" s="53" t="s">
        <v>371</v>
      </c>
      <c r="B23" s="322" t="s">
        <v>240</v>
      </c>
      <c r="C23" s="322" t="s">
        <v>477</v>
      </c>
      <c r="D23" s="29" t="s">
        <v>135</v>
      </c>
      <c r="E23" s="20" t="s">
        <v>478</v>
      </c>
      <c r="F23" s="53" t="s">
        <v>479</v>
      </c>
      <c r="G23" s="53" t="s">
        <v>36</v>
      </c>
      <c r="H23" s="53" t="s">
        <v>37</v>
      </c>
      <c r="I23" s="53" t="s">
        <v>38</v>
      </c>
      <c r="J23" s="53" t="s">
        <v>318</v>
      </c>
      <c r="K23" s="53" t="s">
        <v>40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>
      <c r="A24" s="53" t="s">
        <v>371</v>
      </c>
      <c r="B24" s="322" t="s">
        <v>240</v>
      </c>
      <c r="C24" s="322" t="s">
        <v>140</v>
      </c>
      <c r="D24" s="29" t="s">
        <v>141</v>
      </c>
      <c r="E24" s="20" t="s">
        <v>411</v>
      </c>
      <c r="F24" s="53" t="s">
        <v>479</v>
      </c>
      <c r="G24" s="53" t="s">
        <v>36</v>
      </c>
      <c r="H24" s="53" t="s">
        <v>37</v>
      </c>
      <c r="I24" s="53" t="s">
        <v>38</v>
      </c>
      <c r="J24" s="53" t="s">
        <v>318</v>
      </c>
      <c r="K24" s="53" t="s">
        <v>40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>
      <c r="A25" s="53" t="s">
        <v>371</v>
      </c>
      <c r="B25" s="322" t="s">
        <v>295</v>
      </c>
      <c r="C25" s="322" t="s">
        <v>480</v>
      </c>
      <c r="D25" s="29" t="s">
        <v>481</v>
      </c>
      <c r="E25" s="20" t="s">
        <v>475</v>
      </c>
      <c r="F25" s="53" t="s">
        <v>482</v>
      </c>
      <c r="G25" s="53" t="s">
        <v>36</v>
      </c>
      <c r="H25" s="53" t="s">
        <v>37</v>
      </c>
      <c r="I25" s="53" t="s">
        <v>38</v>
      </c>
      <c r="J25" s="53" t="s">
        <v>318</v>
      </c>
      <c r="K25" s="53" t="s">
        <v>40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>
      <c r="A26" s="53" t="s">
        <v>371</v>
      </c>
      <c r="B26" s="322" t="s">
        <v>295</v>
      </c>
      <c r="C26" s="322" t="s">
        <v>483</v>
      </c>
      <c r="D26" s="29" t="s">
        <v>300</v>
      </c>
      <c r="E26" s="20" t="s">
        <v>484</v>
      </c>
      <c r="F26" s="53" t="s">
        <v>482</v>
      </c>
      <c r="G26" s="53" t="s">
        <v>36</v>
      </c>
      <c r="H26" s="53" t="s">
        <v>37</v>
      </c>
      <c r="I26" s="53" t="s">
        <v>38</v>
      </c>
      <c r="J26" s="53" t="s">
        <v>318</v>
      </c>
      <c r="K26" s="53" t="s">
        <v>40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>
      <c r="A27" s="53" t="s">
        <v>231</v>
      </c>
      <c r="B27" s="322" t="s">
        <v>221</v>
      </c>
      <c r="C27" s="322" t="s">
        <v>54</v>
      </c>
      <c r="D27" s="29" t="s">
        <v>88</v>
      </c>
      <c r="E27" s="20" t="s">
        <v>55</v>
      </c>
      <c r="F27" s="53" t="s">
        <v>485</v>
      </c>
      <c r="G27" s="53" t="s">
        <v>36</v>
      </c>
      <c r="H27" s="53" t="s">
        <v>37</v>
      </c>
      <c r="I27" s="53" t="s">
        <v>38</v>
      </c>
      <c r="J27" s="53" t="s">
        <v>116</v>
      </c>
      <c r="K27" s="53" t="s">
        <v>117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>
      <c r="A28" s="53" t="s">
        <v>253</v>
      </c>
      <c r="B28" s="322" t="s">
        <v>253</v>
      </c>
      <c r="C28" s="322" t="s">
        <v>320</v>
      </c>
      <c r="D28" s="56" t="s">
        <v>321</v>
      </c>
      <c r="E28" s="20" t="s">
        <v>343</v>
      </c>
      <c r="F28" s="53" t="s">
        <v>485</v>
      </c>
      <c r="G28" s="53" t="s">
        <v>36</v>
      </c>
      <c r="H28" s="53" t="s">
        <v>37</v>
      </c>
      <c r="I28" s="53" t="s">
        <v>38</v>
      </c>
      <c r="J28" s="53" t="s">
        <v>116</v>
      </c>
      <c r="K28" s="53" t="s">
        <v>117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>
      <c r="A29" s="53" t="s">
        <v>253</v>
      </c>
      <c r="B29" s="322" t="s">
        <v>253</v>
      </c>
      <c r="C29" s="322" t="s">
        <v>486</v>
      </c>
      <c r="D29" s="29" t="s">
        <v>77</v>
      </c>
      <c r="E29" s="20" t="s">
        <v>50</v>
      </c>
      <c r="F29" s="53" t="s">
        <v>487</v>
      </c>
      <c r="G29" s="53" t="s">
        <v>36</v>
      </c>
      <c r="H29" s="53" t="s">
        <v>37</v>
      </c>
      <c r="I29" s="53" t="s">
        <v>38</v>
      </c>
      <c r="J29" s="53" t="s">
        <v>318</v>
      </c>
      <c r="K29" s="53" t="s">
        <v>40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>
      <c r="A30" s="53" t="s">
        <v>253</v>
      </c>
      <c r="B30" s="322" t="s">
        <v>253</v>
      </c>
      <c r="C30" s="322" t="s">
        <v>320</v>
      </c>
      <c r="D30" s="56" t="s">
        <v>321</v>
      </c>
      <c r="E30" s="20" t="s">
        <v>343</v>
      </c>
      <c r="F30" s="53" t="s">
        <v>487</v>
      </c>
      <c r="G30" s="53" t="s">
        <v>36</v>
      </c>
      <c r="H30" s="53" t="s">
        <v>37</v>
      </c>
      <c r="I30" s="53" t="s">
        <v>38</v>
      </c>
      <c r="J30" s="53" t="s">
        <v>318</v>
      </c>
      <c r="K30" s="53" t="s">
        <v>40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>
      <c r="A31" s="53" t="s">
        <v>231</v>
      </c>
      <c r="B31" s="322" t="s">
        <v>310</v>
      </c>
      <c r="C31" s="322" t="s">
        <v>439</v>
      </c>
      <c r="D31" s="29" t="s">
        <v>440</v>
      </c>
      <c r="E31" s="20" t="s">
        <v>488</v>
      </c>
      <c r="F31" s="71" t="s">
        <v>489</v>
      </c>
      <c r="G31" s="53" t="s">
        <v>36</v>
      </c>
      <c r="H31" s="53" t="s">
        <v>37</v>
      </c>
      <c r="I31" s="53" t="s">
        <v>38</v>
      </c>
      <c r="J31" s="53" t="s">
        <v>318</v>
      </c>
      <c r="K31" s="53" t="s">
        <v>40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>
      <c r="A32" s="53" t="s">
        <v>231</v>
      </c>
      <c r="B32" s="322" t="s">
        <v>229</v>
      </c>
      <c r="C32" s="322" t="s">
        <v>490</v>
      </c>
      <c r="D32" s="29" t="s">
        <v>491</v>
      </c>
      <c r="E32" s="20" t="s">
        <v>488</v>
      </c>
      <c r="F32" s="53" t="s">
        <v>492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>
      <c r="A33" s="53" t="s">
        <v>253</v>
      </c>
      <c r="B33" s="322" t="s">
        <v>212</v>
      </c>
      <c r="C33" s="322" t="s">
        <v>100</v>
      </c>
      <c r="D33" s="29" t="s">
        <v>101</v>
      </c>
      <c r="E33" s="20" t="s">
        <v>493</v>
      </c>
      <c r="F33" s="53" t="s">
        <v>494</v>
      </c>
      <c r="G33" s="53" t="s">
        <v>36</v>
      </c>
      <c r="H33" s="53" t="s">
        <v>37</v>
      </c>
      <c r="I33" s="53" t="s">
        <v>38</v>
      </c>
      <c r="J33" s="53" t="s">
        <v>62</v>
      </c>
      <c r="K33" s="53" t="s">
        <v>414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>
      <c r="A34" s="53" t="s">
        <v>371</v>
      </c>
      <c r="B34" s="322" t="s">
        <v>240</v>
      </c>
      <c r="C34" s="322" t="s">
        <v>140</v>
      </c>
      <c r="D34" s="29" t="s">
        <v>141</v>
      </c>
      <c r="E34" s="20" t="s">
        <v>411</v>
      </c>
      <c r="F34" s="53" t="s">
        <v>495</v>
      </c>
      <c r="G34" s="53" t="s">
        <v>36</v>
      </c>
      <c r="H34" s="53" t="s">
        <v>37</v>
      </c>
      <c r="I34" s="53" t="s">
        <v>38</v>
      </c>
      <c r="J34" s="53" t="s">
        <v>318</v>
      </c>
      <c r="K34" s="53" t="s">
        <v>40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>
      <c r="A35" s="53" t="s">
        <v>253</v>
      </c>
      <c r="B35" s="322" t="s">
        <v>288</v>
      </c>
      <c r="C35" s="322" t="s">
        <v>378</v>
      </c>
      <c r="D35" s="29" t="s">
        <v>379</v>
      </c>
      <c r="E35" s="20" t="s">
        <v>493</v>
      </c>
      <c r="F35" s="53" t="s">
        <v>496</v>
      </c>
      <c r="G35" s="53" t="s">
        <v>36</v>
      </c>
      <c r="H35" s="53" t="s">
        <v>37</v>
      </c>
      <c r="I35" s="53" t="s">
        <v>38</v>
      </c>
      <c r="J35" s="53" t="s">
        <v>62</v>
      </c>
      <c r="K35" s="53" t="s">
        <v>63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>
      <c r="A36" s="53" t="s">
        <v>253</v>
      </c>
      <c r="B36" s="322" t="s">
        <v>234</v>
      </c>
      <c r="C36" s="322" t="s">
        <v>237</v>
      </c>
      <c r="D36" s="29" t="s">
        <v>238</v>
      </c>
      <c r="E36" s="20" t="s">
        <v>497</v>
      </c>
      <c r="F36" s="53" t="s">
        <v>498</v>
      </c>
      <c r="G36" s="53" t="s">
        <v>36</v>
      </c>
      <c r="H36" s="53" t="s">
        <v>37</v>
      </c>
      <c r="I36" s="53" t="s">
        <v>38</v>
      </c>
      <c r="J36" s="53" t="s">
        <v>373</v>
      </c>
      <c r="K36" s="53" t="s">
        <v>374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>
      <c r="A37" s="53" t="s">
        <v>231</v>
      </c>
      <c r="B37" s="322" t="s">
        <v>229</v>
      </c>
      <c r="C37" s="322" t="s">
        <v>65</v>
      </c>
      <c r="D37" s="29" t="s">
        <v>66</v>
      </c>
      <c r="E37" s="20" t="s">
        <v>499</v>
      </c>
      <c r="F37" s="53" t="s">
        <v>500</v>
      </c>
      <c r="G37" s="53" t="s">
        <v>36</v>
      </c>
      <c r="H37" s="53" t="s">
        <v>37</v>
      </c>
      <c r="I37" s="53" t="s">
        <v>38</v>
      </c>
      <c r="J37" s="53" t="s">
        <v>62</v>
      </c>
      <c r="K37" s="53" t="s">
        <v>414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72">
        <v>43586</v>
      </c>
    </row>
    <row r="6" spans="1:47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47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241" t="s">
        <v>8</v>
      </c>
    </row>
    <row r="8" spans="1:47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24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24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231</v>
      </c>
      <c r="B10" s="322" t="s">
        <v>221</v>
      </c>
      <c r="C10" s="322" t="s">
        <v>277</v>
      </c>
      <c r="D10" s="29" t="s">
        <v>278</v>
      </c>
      <c r="E10" s="20" t="s">
        <v>501</v>
      </c>
      <c r="F10" s="53" t="s">
        <v>502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231</v>
      </c>
      <c r="B11" s="322" t="s">
        <v>221</v>
      </c>
      <c r="C11" s="322" t="s">
        <v>54</v>
      </c>
      <c r="D11" s="29" t="s">
        <v>88</v>
      </c>
      <c r="E11" s="20" t="s">
        <v>55</v>
      </c>
      <c r="F11" s="53" t="s">
        <v>502</v>
      </c>
      <c r="G11" s="53" t="s">
        <v>36</v>
      </c>
      <c r="H11" s="53" t="s">
        <v>37</v>
      </c>
      <c r="I11" s="53" t="s">
        <v>38</v>
      </c>
      <c r="J11" s="53" t="s">
        <v>62</v>
      </c>
      <c r="K11" s="53" t="s">
        <v>63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>
      <c r="A12" s="53" t="s">
        <v>371</v>
      </c>
      <c r="B12" s="322" t="s">
        <v>273</v>
      </c>
      <c r="C12" s="322" t="s">
        <v>195</v>
      </c>
      <c r="D12" s="29" t="s">
        <v>196</v>
      </c>
      <c r="E12" s="20" t="s">
        <v>197</v>
      </c>
      <c r="F12" s="53" t="s">
        <v>503</v>
      </c>
      <c r="G12" s="53" t="s">
        <v>36</v>
      </c>
      <c r="H12" s="53" t="s">
        <v>37</v>
      </c>
      <c r="I12" s="53" t="s">
        <v>38</v>
      </c>
      <c r="J12" s="53" t="s">
        <v>504</v>
      </c>
      <c r="K12" s="53" t="s">
        <v>505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>
      <c r="A13" s="53" t="s">
        <v>371</v>
      </c>
      <c r="B13" s="322" t="s">
        <v>273</v>
      </c>
      <c r="C13" s="322" t="s">
        <v>201</v>
      </c>
      <c r="D13" s="29" t="s">
        <v>202</v>
      </c>
      <c r="E13" s="20" t="s">
        <v>348</v>
      </c>
      <c r="F13" s="53" t="s">
        <v>503</v>
      </c>
      <c r="G13" s="53" t="s">
        <v>36</v>
      </c>
      <c r="H13" s="53" t="s">
        <v>37</v>
      </c>
      <c r="I13" s="53" t="s">
        <v>38</v>
      </c>
      <c r="J13" s="53" t="s">
        <v>504</v>
      </c>
      <c r="K13" s="53" t="s">
        <v>505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>
      <c r="A14" s="53" t="s">
        <v>371</v>
      </c>
      <c r="B14" s="322" t="s">
        <v>396</v>
      </c>
      <c r="C14" s="322" t="s">
        <v>152</v>
      </c>
      <c r="D14" s="56" t="s">
        <v>153</v>
      </c>
      <c r="E14" s="66" t="s">
        <v>506</v>
      </c>
      <c r="F14" s="53" t="s">
        <v>507</v>
      </c>
      <c r="G14" s="53" t="s">
        <v>36</v>
      </c>
      <c r="H14" s="53" t="s">
        <v>37</v>
      </c>
      <c r="I14" s="53" t="s">
        <v>38</v>
      </c>
      <c r="J14" s="53" t="s">
        <v>373</v>
      </c>
      <c r="K14" s="53" t="s">
        <v>374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/>
      <c r="B15" s="322" t="s">
        <v>215</v>
      </c>
      <c r="C15" s="322" t="s">
        <v>58</v>
      </c>
      <c r="D15" s="56" t="s">
        <v>59</v>
      </c>
      <c r="E15" s="20" t="s">
        <v>428</v>
      </c>
      <c r="F15" s="53" t="s">
        <v>508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53" t="s">
        <v>253</v>
      </c>
      <c r="B16" s="53" t="s">
        <v>253</v>
      </c>
      <c r="C16" s="322" t="s">
        <v>320</v>
      </c>
      <c r="D16" s="56" t="s">
        <v>321</v>
      </c>
      <c r="E16" s="20" t="s">
        <v>343</v>
      </c>
      <c r="F16" s="53" t="s">
        <v>509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53" t="s">
        <v>371</v>
      </c>
      <c r="B17" s="322" t="s">
        <v>371</v>
      </c>
      <c r="C17" s="322" t="s">
        <v>137</v>
      </c>
      <c r="D17" s="29" t="s">
        <v>138</v>
      </c>
      <c r="E17" s="20" t="s">
        <v>343</v>
      </c>
      <c r="F17" s="53" t="s">
        <v>509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53" t="s">
        <v>371</v>
      </c>
      <c r="B18" s="322" t="s">
        <v>371</v>
      </c>
      <c r="C18" s="322" t="s">
        <v>79</v>
      </c>
      <c r="D18" s="29" t="s">
        <v>77</v>
      </c>
      <c r="E18" s="20" t="s">
        <v>80</v>
      </c>
      <c r="F18" s="53" t="s">
        <v>509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231</v>
      </c>
      <c r="B19" s="322" t="s">
        <v>221</v>
      </c>
      <c r="C19" s="322" t="s">
        <v>54</v>
      </c>
      <c r="D19" s="29" t="s">
        <v>88</v>
      </c>
      <c r="E19" s="20" t="s">
        <v>55</v>
      </c>
      <c r="F19" s="53" t="s">
        <v>509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253</v>
      </c>
      <c r="B20" s="53" t="s">
        <v>253</v>
      </c>
      <c r="C20" s="322" t="s">
        <v>486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>
      <c r="A21" s="53" t="s">
        <v>371</v>
      </c>
      <c r="B21" s="322" t="s">
        <v>240</v>
      </c>
      <c r="C21" s="322" t="s">
        <v>140</v>
      </c>
      <c r="D21" s="29" t="s">
        <v>141</v>
      </c>
      <c r="E21" s="20" t="s">
        <v>411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>
      <c r="A22" s="53" t="s">
        <v>253</v>
      </c>
      <c r="B22" s="53" t="s">
        <v>253</v>
      </c>
      <c r="C22" s="322" t="s">
        <v>486</v>
      </c>
      <c r="D22" s="29" t="s">
        <v>107</v>
      </c>
      <c r="E22" s="66" t="s">
        <v>50</v>
      </c>
      <c r="F22" s="53" t="s">
        <v>510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>
      <c r="A23" s="53" t="s">
        <v>231</v>
      </c>
      <c r="B23" s="322" t="s">
        <v>221</v>
      </c>
      <c r="C23" s="322" t="s">
        <v>54</v>
      </c>
      <c r="D23" s="29" t="s">
        <v>88</v>
      </c>
      <c r="E23" s="20" t="s">
        <v>55</v>
      </c>
      <c r="F23" s="53" t="s">
        <v>230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>
      <c r="A24" s="53" t="s">
        <v>253</v>
      </c>
      <c r="B24" s="322" t="s">
        <v>288</v>
      </c>
      <c r="C24" s="322" t="s">
        <v>112</v>
      </c>
      <c r="D24" s="29" t="s">
        <v>113</v>
      </c>
      <c r="E24" s="20" t="s">
        <v>332</v>
      </c>
      <c r="F24" s="53" t="s">
        <v>511</v>
      </c>
      <c r="G24" s="53" t="s">
        <v>36</v>
      </c>
      <c r="H24" s="53" t="s">
        <v>37</v>
      </c>
      <c r="I24" s="53" t="s">
        <v>38</v>
      </c>
      <c r="J24" s="53" t="s">
        <v>62</v>
      </c>
      <c r="K24" s="53" t="s">
        <v>63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>
      <c r="A25" s="53"/>
      <c r="B25" s="322"/>
      <c r="C25" s="322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>
      <c r="A26" s="53"/>
      <c r="B26" s="322"/>
      <c r="C26" s="322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>
      <c r="A27" s="53"/>
      <c r="B27" s="322"/>
      <c r="C27" s="322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>
      <c r="A28" s="53"/>
      <c r="B28" s="322"/>
      <c r="C28" s="322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>
      <c r="A29" s="53"/>
      <c r="B29" s="322"/>
      <c r="C29" s="322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>
      <c r="A30" s="53"/>
      <c r="B30" s="322"/>
      <c r="C30" s="322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>
      <c r="A31" s="53"/>
      <c r="B31" s="322"/>
      <c r="C31" s="322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>
      <c r="A32" s="53"/>
      <c r="B32" s="322"/>
      <c r="C32" s="322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>
      <c r="A33" s="53"/>
      <c r="B33" s="322"/>
      <c r="C33" s="322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322"/>
      <c r="C34" s="322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322"/>
      <c r="C35" s="322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322"/>
      <c r="C36" s="322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322"/>
      <c r="C37" s="322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72">
        <v>43586</v>
      </c>
    </row>
    <row r="6" spans="1:47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47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241" t="s">
        <v>8</v>
      </c>
    </row>
    <row r="8" spans="1:47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24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24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>
      <c r="A10" s="322" t="s">
        <v>512</v>
      </c>
      <c r="B10" s="322" t="s">
        <v>259</v>
      </c>
      <c r="C10" s="76" t="s">
        <v>383</v>
      </c>
      <c r="D10" s="29" t="s">
        <v>384</v>
      </c>
      <c r="E10" s="20" t="s">
        <v>513</v>
      </c>
      <c r="F10" s="53" t="s">
        <v>514</v>
      </c>
      <c r="G10" s="53" t="s">
        <v>36</v>
      </c>
      <c r="H10" s="53" t="s">
        <v>37</v>
      </c>
      <c r="I10" s="53" t="s">
        <v>38</v>
      </c>
      <c r="J10" s="53" t="s">
        <v>39</v>
      </c>
      <c r="K10" s="53" t="s">
        <v>40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>
      <c r="A11" s="322" t="s">
        <v>512</v>
      </c>
      <c r="B11" s="322" t="s">
        <v>259</v>
      </c>
      <c r="C11" s="322" t="s">
        <v>433</v>
      </c>
      <c r="D11" s="29" t="s">
        <v>434</v>
      </c>
      <c r="E11" s="20" t="s">
        <v>515</v>
      </c>
      <c r="F11" s="53" t="s">
        <v>514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322" t="s">
        <v>512</v>
      </c>
      <c r="B12" s="322" t="s">
        <v>512</v>
      </c>
      <c r="C12" s="76" t="s">
        <v>320</v>
      </c>
      <c r="D12" s="56" t="s">
        <v>321</v>
      </c>
      <c r="E12" s="20" t="s">
        <v>343</v>
      </c>
      <c r="F12" s="53" t="s">
        <v>514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>
      <c r="A13" s="322" t="s">
        <v>512</v>
      </c>
      <c r="B13" s="322" t="s">
        <v>288</v>
      </c>
      <c r="C13" s="323" t="s">
        <v>516</v>
      </c>
      <c r="D13" s="29" t="s">
        <v>517</v>
      </c>
      <c r="E13" s="20" t="s">
        <v>518</v>
      </c>
      <c r="F13" s="53" t="s">
        <v>519</v>
      </c>
      <c r="G13" s="53" t="s">
        <v>36</v>
      </c>
      <c r="H13" s="53" t="s">
        <v>37</v>
      </c>
      <c r="I13" s="53" t="s">
        <v>38</v>
      </c>
      <c r="J13" s="53" t="s">
        <v>109</v>
      </c>
      <c r="K13" s="53" t="s">
        <v>110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322" t="s">
        <v>512</v>
      </c>
      <c r="B14" s="322" t="s">
        <v>520</v>
      </c>
      <c r="C14" s="322" t="s">
        <v>521</v>
      </c>
      <c r="D14" s="56" t="s">
        <v>522</v>
      </c>
      <c r="E14" s="66" t="s">
        <v>523</v>
      </c>
      <c r="F14" s="53" t="s">
        <v>519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>
      <c r="A15" s="322" t="s">
        <v>371</v>
      </c>
      <c r="B15" s="322" t="s">
        <v>371</v>
      </c>
      <c r="C15" s="322" t="s">
        <v>79</v>
      </c>
      <c r="D15" s="29" t="s">
        <v>107</v>
      </c>
      <c r="E15" s="20" t="s">
        <v>80</v>
      </c>
      <c r="F15" s="53" t="s">
        <v>514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322" t="s">
        <v>371</v>
      </c>
      <c r="B16" s="322" t="s">
        <v>396</v>
      </c>
      <c r="C16" s="322" t="s">
        <v>267</v>
      </c>
      <c r="D16" s="29" t="s">
        <v>145</v>
      </c>
      <c r="E16" s="20" t="s">
        <v>399</v>
      </c>
      <c r="F16" s="53" t="s">
        <v>268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322" t="s">
        <v>231</v>
      </c>
      <c r="B17" s="322" t="s">
        <v>221</v>
      </c>
      <c r="C17" s="322" t="s">
        <v>54</v>
      </c>
      <c r="D17" s="29" t="s">
        <v>88</v>
      </c>
      <c r="E17" s="20" t="s">
        <v>55</v>
      </c>
      <c r="F17" s="53" t="s">
        <v>514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322" t="s">
        <v>253</v>
      </c>
      <c r="B18" s="322" t="s">
        <v>253</v>
      </c>
      <c r="C18" s="322" t="s">
        <v>486</v>
      </c>
      <c r="D18" s="56" t="s">
        <v>107</v>
      </c>
      <c r="E18" s="66" t="s">
        <v>50</v>
      </c>
      <c r="F18" s="53" t="s">
        <v>514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>
      <c r="A19" s="322" t="s">
        <v>231</v>
      </c>
      <c r="B19" s="322" t="s">
        <v>462</v>
      </c>
      <c r="C19" s="322" t="s">
        <v>158</v>
      </c>
      <c r="D19" s="29" t="s">
        <v>159</v>
      </c>
      <c r="E19" s="20" t="s">
        <v>160</v>
      </c>
      <c r="F19" s="53" t="s">
        <v>268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>
      <c r="A20" s="322" t="s">
        <v>512</v>
      </c>
      <c r="B20" s="322" t="s">
        <v>512</v>
      </c>
      <c r="C20" s="323" t="s">
        <v>524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>
      <c r="A21" s="322" t="s">
        <v>512</v>
      </c>
      <c r="B21" s="322" t="s">
        <v>512</v>
      </c>
      <c r="C21" s="322" t="s">
        <v>525</v>
      </c>
      <c r="D21" s="56" t="s">
        <v>321</v>
      </c>
      <c r="E21" s="20" t="s">
        <v>343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>
      <c r="A22" s="322" t="s">
        <v>371</v>
      </c>
      <c r="B22" s="322" t="s">
        <v>371</v>
      </c>
      <c r="C22" s="322" t="s">
        <v>137</v>
      </c>
      <c r="D22" s="29" t="s">
        <v>138</v>
      </c>
      <c r="E22" s="20" t="s">
        <v>343</v>
      </c>
      <c r="F22" s="53" t="s">
        <v>509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>
      <c r="A23" s="322" t="s">
        <v>231</v>
      </c>
      <c r="B23" s="322" t="s">
        <v>221</v>
      </c>
      <c r="C23" s="322" t="s">
        <v>54</v>
      </c>
      <c r="D23" s="29" t="s">
        <v>88</v>
      </c>
      <c r="E23" s="20" t="s">
        <v>55</v>
      </c>
      <c r="F23" s="53" t="s">
        <v>509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>
      <c r="A24" s="322" t="s">
        <v>371</v>
      </c>
      <c r="B24" s="322" t="s">
        <v>240</v>
      </c>
      <c r="C24" s="322" t="s">
        <v>140</v>
      </c>
      <c r="D24" s="29" t="s">
        <v>141</v>
      </c>
      <c r="E24" s="20" t="s">
        <v>411</v>
      </c>
      <c r="F24" s="53" t="s">
        <v>509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>
      <c r="A25" s="322" t="s">
        <v>512</v>
      </c>
      <c r="B25" s="322" t="s">
        <v>288</v>
      </c>
      <c r="C25" s="322" t="s">
        <v>526</v>
      </c>
      <c r="D25" s="29" t="s">
        <v>527</v>
      </c>
      <c r="E25" s="20" t="s">
        <v>164</v>
      </c>
      <c r="F25" s="53" t="s">
        <v>528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>
      <c r="A26" s="322" t="s">
        <v>512</v>
      </c>
      <c r="B26" s="322" t="s">
        <v>212</v>
      </c>
      <c r="C26" s="322" t="s">
        <v>404</v>
      </c>
      <c r="D26" s="29" t="s">
        <v>405</v>
      </c>
      <c r="E26" s="20" t="s">
        <v>406</v>
      </c>
      <c r="F26" s="53" t="s">
        <v>528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>
      <c r="A27" s="322" t="s">
        <v>512</v>
      </c>
      <c r="B27" s="322" t="s">
        <v>288</v>
      </c>
      <c r="C27" s="322" t="s">
        <v>529</v>
      </c>
      <c r="D27" s="29" t="s">
        <v>530</v>
      </c>
      <c r="E27" s="20" t="s">
        <v>531</v>
      </c>
      <c r="F27" s="53" t="s">
        <v>528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>
      <c r="A28" s="322" t="s">
        <v>231</v>
      </c>
      <c r="B28" s="322" t="s">
        <v>229</v>
      </c>
      <c r="C28" s="322" t="s">
        <v>246</v>
      </c>
      <c r="D28" s="56" t="s">
        <v>247</v>
      </c>
      <c r="E28" s="20" t="s">
        <v>341</v>
      </c>
      <c r="F28" s="53" t="s">
        <v>532</v>
      </c>
      <c r="G28" s="53" t="s">
        <v>36</v>
      </c>
      <c r="H28" s="53" t="s">
        <v>37</v>
      </c>
      <c r="I28" s="53" t="s">
        <v>38</v>
      </c>
      <c r="J28" s="53" t="s">
        <v>62</v>
      </c>
      <c r="K28" s="53" t="s">
        <v>63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>
      <c r="A29" s="322" t="s">
        <v>512</v>
      </c>
      <c r="B29" s="322" t="s">
        <v>212</v>
      </c>
      <c r="C29" s="322" t="s">
        <v>100</v>
      </c>
      <c r="D29" s="29" t="s">
        <v>101</v>
      </c>
      <c r="E29" s="20" t="s">
        <v>102</v>
      </c>
      <c r="F29" s="53" t="s">
        <v>533</v>
      </c>
      <c r="G29" s="53" t="s">
        <v>36</v>
      </c>
      <c r="H29" s="53" t="s">
        <v>37</v>
      </c>
      <c r="I29" s="53" t="s">
        <v>38</v>
      </c>
      <c r="J29" s="53" t="s">
        <v>62</v>
      </c>
      <c r="K29" s="53" t="s">
        <v>414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>
      <c r="A30" s="322" t="s">
        <v>371</v>
      </c>
      <c r="B30" s="322" t="s">
        <v>240</v>
      </c>
      <c r="C30" s="322" t="s">
        <v>448</v>
      </c>
      <c r="D30" s="56" t="s">
        <v>460</v>
      </c>
      <c r="E30" s="20" t="s">
        <v>60</v>
      </c>
      <c r="F30" s="53" t="s">
        <v>534</v>
      </c>
      <c r="G30" s="53" t="s">
        <v>36</v>
      </c>
      <c r="H30" s="53" t="s">
        <v>37</v>
      </c>
      <c r="I30" s="53" t="s">
        <v>38</v>
      </c>
      <c r="J30" s="53" t="s">
        <v>39</v>
      </c>
      <c r="K30" s="53" t="s">
        <v>40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>
      <c r="A31" s="322" t="s">
        <v>512</v>
      </c>
      <c r="B31" s="322" t="s">
        <v>288</v>
      </c>
      <c r="C31" s="322" t="s">
        <v>289</v>
      </c>
      <c r="D31" s="29" t="s">
        <v>290</v>
      </c>
      <c r="E31" s="20" t="s">
        <v>535</v>
      </c>
      <c r="F31" s="53" t="s">
        <v>528</v>
      </c>
      <c r="G31" s="53" t="s">
        <v>36</v>
      </c>
      <c r="H31" s="53" t="s">
        <v>37</v>
      </c>
      <c r="I31" s="53" t="s">
        <v>38</v>
      </c>
      <c r="J31" s="53" t="s">
        <v>62</v>
      </c>
      <c r="K31" s="53" t="s">
        <v>63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>
      <c r="A32" s="322" t="s">
        <v>512</v>
      </c>
      <c r="B32" s="322" t="s">
        <v>288</v>
      </c>
      <c r="C32" s="322" t="s">
        <v>378</v>
      </c>
      <c r="D32" s="29" t="s">
        <v>379</v>
      </c>
      <c r="E32" s="20" t="s">
        <v>380</v>
      </c>
      <c r="F32" s="53" t="s">
        <v>536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>
      <c r="A33" s="53"/>
      <c r="B33" s="322"/>
      <c r="C33" s="322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322"/>
      <c r="C34" s="322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322"/>
      <c r="C35" s="322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322"/>
      <c r="C36" s="322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322"/>
      <c r="C37" s="322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72">
        <v>43586</v>
      </c>
    </row>
    <row r="6" spans="1:46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46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241" t="s">
        <v>8</v>
      </c>
    </row>
    <row r="8" spans="1:46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24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24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322" t="s">
        <v>231</v>
      </c>
      <c r="B10" s="322" t="s">
        <v>221</v>
      </c>
      <c r="C10" s="78" t="s">
        <v>54</v>
      </c>
      <c r="D10" s="29" t="s">
        <v>88</v>
      </c>
      <c r="E10" s="20" t="s">
        <v>55</v>
      </c>
      <c r="F10" s="53" t="s">
        <v>537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322" t="s">
        <v>512</v>
      </c>
      <c r="B11" s="322" t="s">
        <v>212</v>
      </c>
      <c r="C11" s="322" t="s">
        <v>41</v>
      </c>
      <c r="D11" s="29" t="s">
        <v>171</v>
      </c>
      <c r="E11" s="20" t="s">
        <v>42</v>
      </c>
      <c r="F11" s="53" t="s">
        <v>538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322" t="s">
        <v>512</v>
      </c>
      <c r="B12" s="322" t="s">
        <v>212</v>
      </c>
      <c r="C12" s="76" t="s">
        <v>387</v>
      </c>
      <c r="D12" s="56" t="s">
        <v>388</v>
      </c>
      <c r="E12" s="20" t="s">
        <v>34</v>
      </c>
      <c r="F12" s="53" t="s">
        <v>538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322" t="s">
        <v>512</v>
      </c>
      <c r="B13" s="322" t="s">
        <v>212</v>
      </c>
      <c r="C13" s="323" t="s">
        <v>539</v>
      </c>
      <c r="D13" s="29" t="s">
        <v>540</v>
      </c>
      <c r="E13" s="20" t="s">
        <v>541</v>
      </c>
      <c r="F13" s="53" t="s">
        <v>538</v>
      </c>
      <c r="G13" s="53" t="s">
        <v>36</v>
      </c>
      <c r="H13" s="53" t="s">
        <v>37</v>
      </c>
      <c r="I13" s="53" t="s">
        <v>38</v>
      </c>
      <c r="J13" s="53" t="s">
        <v>37</v>
      </c>
      <c r="K13" s="53" t="s">
        <v>391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322" t="s">
        <v>512</v>
      </c>
      <c r="B14" s="322" t="s">
        <v>512</v>
      </c>
      <c r="C14" s="322" t="s">
        <v>486</v>
      </c>
      <c r="D14" s="56" t="s">
        <v>107</v>
      </c>
      <c r="E14" s="66" t="s">
        <v>50</v>
      </c>
      <c r="F14" s="53" t="s">
        <v>108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>
      <c r="A15" s="322" t="s">
        <v>371</v>
      </c>
      <c r="B15" s="322" t="s">
        <v>273</v>
      </c>
      <c r="C15" s="322" t="s">
        <v>201</v>
      </c>
      <c r="D15" s="29" t="s">
        <v>202</v>
      </c>
      <c r="E15" s="20" t="s">
        <v>348</v>
      </c>
      <c r="F15" s="53" t="s">
        <v>542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322" t="s">
        <v>371</v>
      </c>
      <c r="B16" s="322" t="s">
        <v>273</v>
      </c>
      <c r="C16" s="322" t="s">
        <v>195</v>
      </c>
      <c r="D16" s="29" t="s">
        <v>145</v>
      </c>
      <c r="E16" s="20" t="s">
        <v>399</v>
      </c>
      <c r="F16" s="53" t="s">
        <v>542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>
      <c r="A17" s="322" t="s">
        <v>253</v>
      </c>
      <c r="B17" s="322" t="s">
        <v>253</v>
      </c>
      <c r="C17" s="322" t="s">
        <v>486</v>
      </c>
      <c r="D17" s="56" t="s">
        <v>107</v>
      </c>
      <c r="E17" s="66" t="s">
        <v>50</v>
      </c>
      <c r="F17" s="53" t="s">
        <v>543</v>
      </c>
      <c r="G17" s="53" t="s">
        <v>36</v>
      </c>
      <c r="H17" s="53" t="s">
        <v>37</v>
      </c>
      <c r="I17" s="53" t="s">
        <v>38</v>
      </c>
      <c r="J17" s="53" t="s">
        <v>37</v>
      </c>
      <c r="K17" s="53" t="s">
        <v>391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>
      <c r="A18" s="322" t="s">
        <v>253</v>
      </c>
      <c r="B18" s="322" t="s">
        <v>253</v>
      </c>
      <c r="C18" s="322" t="s">
        <v>320</v>
      </c>
      <c r="D18" s="56" t="s">
        <v>321</v>
      </c>
      <c r="E18" s="20" t="s">
        <v>343</v>
      </c>
      <c r="F18" s="53" t="s">
        <v>543</v>
      </c>
      <c r="G18" s="53" t="s">
        <v>36</v>
      </c>
      <c r="H18" s="53" t="s">
        <v>37</v>
      </c>
      <c r="I18" s="53" t="s">
        <v>38</v>
      </c>
      <c r="J18" s="53" t="s">
        <v>37</v>
      </c>
      <c r="K18" s="53" t="s">
        <v>391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>
      <c r="A19" s="322" t="s">
        <v>231</v>
      </c>
      <c r="B19" s="322" t="s">
        <v>544</v>
      </c>
      <c r="C19" s="322" t="s">
        <v>545</v>
      </c>
      <c r="D19" s="29" t="s">
        <v>546</v>
      </c>
      <c r="E19" s="20" t="s">
        <v>547</v>
      </c>
      <c r="F19" s="53" t="s">
        <v>543</v>
      </c>
      <c r="G19" s="53" t="s">
        <v>36</v>
      </c>
      <c r="H19" s="53" t="s">
        <v>37</v>
      </c>
      <c r="I19" s="53" t="s">
        <v>38</v>
      </c>
      <c r="J19" s="53" t="s">
        <v>37</v>
      </c>
      <c r="K19" s="53" t="s">
        <v>391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>
      <c r="A20" s="322" t="s">
        <v>371</v>
      </c>
      <c r="B20" s="322" t="s">
        <v>371</v>
      </c>
      <c r="C20" s="323" t="s">
        <v>79</v>
      </c>
      <c r="D20" s="29" t="s">
        <v>107</v>
      </c>
      <c r="E20" s="20" t="s">
        <v>80</v>
      </c>
      <c r="F20" s="53" t="s">
        <v>548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>
      <c r="A21" s="322" t="s">
        <v>371</v>
      </c>
      <c r="B21" s="322" t="s">
        <v>371</v>
      </c>
      <c r="C21" s="322" t="s">
        <v>137</v>
      </c>
      <c r="D21" s="29" t="s">
        <v>141</v>
      </c>
      <c r="E21" s="20" t="s">
        <v>411</v>
      </c>
      <c r="F21" s="53" t="s">
        <v>548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>
      <c r="A22" s="322" t="s">
        <v>512</v>
      </c>
      <c r="B22" s="322" t="s">
        <v>512</v>
      </c>
      <c r="C22" s="322" t="s">
        <v>486</v>
      </c>
      <c r="D22" s="56" t="s">
        <v>107</v>
      </c>
      <c r="E22" s="66" t="s">
        <v>50</v>
      </c>
      <c r="F22" s="53" t="s">
        <v>548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>
      <c r="A23" s="322" t="s">
        <v>512</v>
      </c>
      <c r="B23" s="322" t="s">
        <v>253</v>
      </c>
      <c r="C23" s="322" t="s">
        <v>320</v>
      </c>
      <c r="D23" s="56" t="s">
        <v>321</v>
      </c>
      <c r="E23" s="20" t="s">
        <v>343</v>
      </c>
      <c r="F23" s="53" t="s">
        <v>548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>
      <c r="A24" s="322" t="s">
        <v>231</v>
      </c>
      <c r="B24" s="322" t="s">
        <v>221</v>
      </c>
      <c r="C24" s="322" t="s">
        <v>54</v>
      </c>
      <c r="D24" s="29" t="s">
        <v>88</v>
      </c>
      <c r="E24" s="20" t="s">
        <v>55</v>
      </c>
      <c r="F24" s="53" t="s">
        <v>357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>
      <c r="A25" s="322" t="s">
        <v>512</v>
      </c>
      <c r="B25" s="322" t="s">
        <v>253</v>
      </c>
      <c r="C25" s="322" t="s">
        <v>486</v>
      </c>
      <c r="D25" s="56" t="s">
        <v>107</v>
      </c>
      <c r="E25" s="66" t="s">
        <v>50</v>
      </c>
      <c r="F25" s="53" t="s">
        <v>357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>
      <c r="A26" s="322" t="s">
        <v>371</v>
      </c>
      <c r="B26" s="322" t="s">
        <v>273</v>
      </c>
      <c r="C26" s="322" t="s">
        <v>549</v>
      </c>
      <c r="D26" s="29" t="s">
        <v>550</v>
      </c>
      <c r="E26" s="20" t="s">
        <v>348</v>
      </c>
      <c r="F26" s="53" t="s">
        <v>551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>
      <c r="A27" s="322" t="s">
        <v>512</v>
      </c>
      <c r="B27" s="322" t="s">
        <v>253</v>
      </c>
      <c r="C27" s="322" t="s">
        <v>486</v>
      </c>
      <c r="D27" s="56" t="s">
        <v>107</v>
      </c>
      <c r="E27" s="66" t="s">
        <v>50</v>
      </c>
      <c r="F27" s="53" t="s">
        <v>552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72">
        <v>43586</v>
      </c>
    </row>
    <row r="6" spans="1:46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46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241" t="s">
        <v>8</v>
      </c>
    </row>
    <row r="8" spans="1:46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24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24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>
      <c r="A10" s="322" t="s">
        <v>371</v>
      </c>
      <c r="B10" s="322" t="s">
        <v>273</v>
      </c>
      <c r="C10" s="78" t="s">
        <v>282</v>
      </c>
      <c r="D10" s="29" t="s">
        <v>553</v>
      </c>
      <c r="E10" s="20" t="s">
        <v>348</v>
      </c>
      <c r="F10" s="53" t="s">
        <v>554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>
      <c r="A11" s="322" t="s">
        <v>371</v>
      </c>
      <c r="B11" s="322" t="s">
        <v>226</v>
      </c>
      <c r="C11" s="322" t="s">
        <v>206</v>
      </c>
      <c r="D11" s="29" t="s">
        <v>207</v>
      </c>
      <c r="E11" s="20" t="s">
        <v>208</v>
      </c>
      <c r="F11" s="53" t="s">
        <v>357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322" t="s">
        <v>231</v>
      </c>
      <c r="B12" s="322" t="s">
        <v>221</v>
      </c>
      <c r="C12" s="76" t="s">
        <v>54</v>
      </c>
      <c r="D12" s="29" t="s">
        <v>88</v>
      </c>
      <c r="E12" s="20" t="s">
        <v>55</v>
      </c>
      <c r="F12" s="53" t="s">
        <v>357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322" t="s">
        <v>253</v>
      </c>
      <c r="B13" s="322" t="s">
        <v>253</v>
      </c>
      <c r="C13" s="323" t="s">
        <v>486</v>
      </c>
      <c r="D13" s="56" t="s">
        <v>107</v>
      </c>
      <c r="E13" s="66" t="s">
        <v>50</v>
      </c>
      <c r="F13" s="53" t="s">
        <v>555</v>
      </c>
      <c r="G13" s="53" t="s">
        <v>36</v>
      </c>
      <c r="H13" s="53" t="s">
        <v>37</v>
      </c>
      <c r="I13" s="53" t="s">
        <v>38</v>
      </c>
      <c r="J13" s="53" t="s">
        <v>409</v>
      </c>
      <c r="K13" s="53" t="s">
        <v>410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322" t="s">
        <v>253</v>
      </c>
      <c r="B14" s="322" t="s">
        <v>259</v>
      </c>
      <c r="C14" s="322" t="s">
        <v>320</v>
      </c>
      <c r="D14" s="56" t="s">
        <v>321</v>
      </c>
      <c r="E14" s="20" t="s">
        <v>343</v>
      </c>
      <c r="F14" s="53" t="s">
        <v>555</v>
      </c>
      <c r="G14" s="53" t="s">
        <v>36</v>
      </c>
      <c r="H14" s="53" t="s">
        <v>37</v>
      </c>
      <c r="I14" s="53" t="s">
        <v>38</v>
      </c>
      <c r="J14" s="53" t="s">
        <v>409</v>
      </c>
      <c r="K14" s="53" t="s">
        <v>410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>
      <c r="A15" s="322" t="s">
        <v>253</v>
      </c>
      <c r="B15" s="322" t="s">
        <v>288</v>
      </c>
      <c r="C15" s="322" t="s">
        <v>375</v>
      </c>
      <c r="D15" s="29" t="s">
        <v>376</v>
      </c>
      <c r="E15" s="20" t="s">
        <v>98</v>
      </c>
      <c r="F15" s="53" t="s">
        <v>556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322" t="s">
        <v>253</v>
      </c>
      <c r="B16" s="322" t="s">
        <v>212</v>
      </c>
      <c r="C16" s="322" t="s">
        <v>100</v>
      </c>
      <c r="D16" s="29" t="s">
        <v>101</v>
      </c>
      <c r="E16" s="20" t="s">
        <v>102</v>
      </c>
      <c r="F16" s="53" t="s">
        <v>557</v>
      </c>
      <c r="G16" s="53" t="s">
        <v>36</v>
      </c>
      <c r="H16" s="53" t="s">
        <v>37</v>
      </c>
      <c r="I16" s="53" t="s">
        <v>38</v>
      </c>
      <c r="J16" s="53" t="s">
        <v>62</v>
      </c>
      <c r="K16" s="53" t="s">
        <v>414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72">
        <v>43586</v>
      </c>
    </row>
    <row r="6" spans="1:46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46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241" t="s">
        <v>8</v>
      </c>
    </row>
    <row r="8" spans="1:46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24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24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322" t="s">
        <v>253</v>
      </c>
      <c r="B10" s="322" t="s">
        <v>212</v>
      </c>
      <c r="C10" s="78" t="s">
        <v>100</v>
      </c>
      <c r="D10" s="29" t="s">
        <v>101</v>
      </c>
      <c r="E10" s="20" t="s">
        <v>102</v>
      </c>
      <c r="F10" s="53" t="s">
        <v>558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414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322" t="s">
        <v>253</v>
      </c>
      <c r="B11" s="322" t="s">
        <v>259</v>
      </c>
      <c r="C11" s="322" t="s">
        <v>383</v>
      </c>
      <c r="D11" s="29" t="s">
        <v>384</v>
      </c>
      <c r="E11" s="20" t="s">
        <v>385</v>
      </c>
      <c r="F11" s="53" t="s">
        <v>559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322" t="s">
        <v>253</v>
      </c>
      <c r="B12" s="322" t="s">
        <v>253</v>
      </c>
      <c r="C12" s="76" t="s">
        <v>320</v>
      </c>
      <c r="D12" s="56" t="s">
        <v>321</v>
      </c>
      <c r="E12" s="20" t="s">
        <v>343</v>
      </c>
      <c r="F12" s="53" t="s">
        <v>559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322" t="s">
        <v>253</v>
      </c>
      <c r="B13" s="322" t="s">
        <v>253</v>
      </c>
      <c r="C13" s="323" t="s">
        <v>486</v>
      </c>
      <c r="D13" s="56" t="s">
        <v>107</v>
      </c>
      <c r="E13" s="66" t="s">
        <v>50</v>
      </c>
      <c r="F13" s="53" t="s">
        <v>560</v>
      </c>
      <c r="G13" s="53" t="s">
        <v>36</v>
      </c>
      <c r="H13" s="53" t="s">
        <v>37</v>
      </c>
      <c r="I13" s="53" t="s">
        <v>38</v>
      </c>
      <c r="J13" s="53" t="s">
        <v>39</v>
      </c>
      <c r="K13" s="53" t="s">
        <v>40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 t="s">
        <v>228</v>
      </c>
      <c r="B5" s="322" t="s">
        <v>228</v>
      </c>
      <c r="C5" s="322" t="s">
        <v>561</v>
      </c>
      <c r="D5" s="29"/>
      <c r="E5" s="20" t="s">
        <v>562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210</v>
      </c>
      <c r="K5" s="53" t="s">
        <v>211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>
      <c r="A6" s="322" t="s">
        <v>228</v>
      </c>
      <c r="B6" s="322" t="s">
        <v>450</v>
      </c>
      <c r="C6" s="322" t="s">
        <v>564</v>
      </c>
      <c r="D6" s="29"/>
      <c r="E6" s="20" t="s">
        <v>565</v>
      </c>
      <c r="F6" s="53" t="s">
        <v>563</v>
      </c>
      <c r="G6" s="53" t="s">
        <v>36</v>
      </c>
      <c r="H6" s="53" t="s">
        <v>37</v>
      </c>
      <c r="I6" s="53" t="s">
        <v>38</v>
      </c>
      <c r="J6" s="53" t="s">
        <v>210</v>
      </c>
      <c r="K6" s="53" t="s">
        <v>211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>
      <c r="A7" s="322" t="s">
        <v>228</v>
      </c>
      <c r="B7" s="322" t="s">
        <v>566</v>
      </c>
      <c r="C7" s="322" t="s">
        <v>54</v>
      </c>
      <c r="D7" s="29" t="s">
        <v>88</v>
      </c>
      <c r="E7" s="20" t="s">
        <v>55</v>
      </c>
      <c r="F7" s="53" t="s">
        <v>563</v>
      </c>
      <c r="G7" s="53" t="s">
        <v>36</v>
      </c>
      <c r="H7" s="53" t="s">
        <v>37</v>
      </c>
      <c r="I7" s="53" t="s">
        <v>38</v>
      </c>
      <c r="J7" s="53" t="s">
        <v>210</v>
      </c>
      <c r="K7" s="53" t="s">
        <v>211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77</v>
      </c>
    </row>
    <row r="8" spans="1:24" ht="25.5">
      <c r="A8" s="322" t="s">
        <v>228</v>
      </c>
      <c r="B8" s="322" t="s">
        <v>566</v>
      </c>
      <c r="C8" s="322" t="s">
        <v>54</v>
      </c>
      <c r="D8" s="29" t="s">
        <v>88</v>
      </c>
      <c r="E8" s="20" t="s">
        <v>55</v>
      </c>
      <c r="F8" s="53" t="s">
        <v>567</v>
      </c>
      <c r="G8" s="53" t="s">
        <v>36</v>
      </c>
      <c r="H8" s="53" t="s">
        <v>37</v>
      </c>
      <c r="I8" s="53" t="s">
        <v>38</v>
      </c>
      <c r="J8" s="53" t="s">
        <v>62</v>
      </c>
      <c r="K8" s="53" t="s">
        <v>63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77</v>
      </c>
    </row>
    <row r="9" spans="1:24" ht="38.25">
      <c r="A9" s="324" t="s">
        <v>233</v>
      </c>
      <c r="B9" s="324" t="s">
        <v>233</v>
      </c>
      <c r="C9" s="324" t="s">
        <v>568</v>
      </c>
      <c r="D9" s="80"/>
      <c r="E9" s="81" t="s">
        <v>50</v>
      </c>
      <c r="F9" s="53" t="s">
        <v>563</v>
      </c>
      <c r="G9" s="79" t="s">
        <v>36</v>
      </c>
      <c r="H9" s="79" t="s">
        <v>37</v>
      </c>
      <c r="I9" s="79" t="s">
        <v>38</v>
      </c>
      <c r="J9" s="79" t="s">
        <v>210</v>
      </c>
      <c r="K9" s="79" t="s">
        <v>211</v>
      </c>
      <c r="L9" s="82">
        <v>43872</v>
      </c>
      <c r="M9" s="82">
        <v>43875</v>
      </c>
      <c r="N9" s="325">
        <f t="shared" si="0"/>
        <v>778.26</v>
      </c>
      <c r="O9" s="325">
        <f t="shared" si="1"/>
        <v>778.26</v>
      </c>
      <c r="P9" s="325">
        <v>1556.52</v>
      </c>
      <c r="Q9" s="324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324"/>
    </row>
    <row r="10" spans="1:24" ht="38.25">
      <c r="A10" s="324" t="s">
        <v>233</v>
      </c>
      <c r="B10" s="324" t="s">
        <v>233</v>
      </c>
      <c r="C10" s="324" t="s">
        <v>568</v>
      </c>
      <c r="D10" s="80"/>
      <c r="E10" s="81" t="s">
        <v>50</v>
      </c>
      <c r="F10" s="77" t="s">
        <v>569</v>
      </c>
      <c r="G10" s="79" t="s">
        <v>36</v>
      </c>
      <c r="H10" s="79" t="s">
        <v>37</v>
      </c>
      <c r="I10" s="79" t="s">
        <v>38</v>
      </c>
      <c r="J10" s="79" t="s">
        <v>39</v>
      </c>
      <c r="K10" s="79" t="s">
        <v>570</v>
      </c>
      <c r="L10" s="82">
        <v>43878</v>
      </c>
      <c r="M10" s="82">
        <v>43879</v>
      </c>
      <c r="N10" s="325">
        <f t="shared" si="0"/>
        <v>912.6</v>
      </c>
      <c r="O10" s="325">
        <f t="shared" si="1"/>
        <v>912.6</v>
      </c>
      <c r="P10" s="325">
        <v>1825.2</v>
      </c>
      <c r="Q10" s="77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7"/>
    </row>
    <row r="11" spans="1:24" ht="25.5">
      <c r="A11" s="324" t="s">
        <v>233</v>
      </c>
      <c r="B11" s="324" t="s">
        <v>233</v>
      </c>
      <c r="C11" s="324" t="s">
        <v>571</v>
      </c>
      <c r="D11" s="56" t="s">
        <v>321</v>
      </c>
      <c r="E11" s="20" t="s">
        <v>343</v>
      </c>
      <c r="F11" s="77" t="s">
        <v>569</v>
      </c>
      <c r="G11" s="79" t="s">
        <v>36</v>
      </c>
      <c r="H11" s="79" t="s">
        <v>37</v>
      </c>
      <c r="I11" s="79" t="s">
        <v>38</v>
      </c>
      <c r="J11" s="79" t="s">
        <v>39</v>
      </c>
      <c r="K11" s="79" t="s">
        <v>570</v>
      </c>
      <c r="L11" s="82">
        <v>43878</v>
      </c>
      <c r="M11" s="82">
        <v>43879</v>
      </c>
      <c r="N11" s="325">
        <f t="shared" si="0"/>
        <v>860.1</v>
      </c>
      <c r="O11" s="325">
        <f t="shared" si="1"/>
        <v>860.1</v>
      </c>
      <c r="P11" s="325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77</v>
      </c>
    </row>
    <row r="12" spans="1:24" ht="25.5">
      <c r="A12" s="322" t="s">
        <v>371</v>
      </c>
      <c r="B12" s="322" t="s">
        <v>371</v>
      </c>
      <c r="C12" s="322" t="s">
        <v>137</v>
      </c>
      <c r="D12" s="29" t="s">
        <v>141</v>
      </c>
      <c r="E12" s="20" t="s">
        <v>343</v>
      </c>
      <c r="F12" s="77" t="s">
        <v>569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570</v>
      </c>
      <c r="L12" s="69">
        <v>43878</v>
      </c>
      <c r="M12" s="69">
        <v>43879</v>
      </c>
      <c r="N12" s="326">
        <f t="shared" si="0"/>
        <v>690.43499999999995</v>
      </c>
      <c r="O12" s="326">
        <f t="shared" si="1"/>
        <v>690.43499999999995</v>
      </c>
      <c r="P12" s="326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77</v>
      </c>
    </row>
    <row r="18" spans="3:17">
      <c r="Q18" s="83"/>
    </row>
    <row r="19" spans="3:17">
      <c r="Q19" s="83"/>
    </row>
    <row r="20" spans="3:17">
      <c r="Q20" s="83"/>
    </row>
    <row r="21" spans="3:17">
      <c r="Q21" s="83"/>
    </row>
    <row r="23" spans="3:17" ht="25.5">
      <c r="C23" s="29"/>
      <c r="D23" s="20" t="s">
        <v>562</v>
      </c>
    </row>
    <row r="24" spans="3:17" ht="51">
      <c r="C24" s="80"/>
      <c r="D24" s="81" t="s">
        <v>50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42979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5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25.5">
      <c r="A5" s="322" t="s">
        <v>228</v>
      </c>
      <c r="B5" s="322" t="s">
        <v>566</v>
      </c>
      <c r="C5" s="322" t="s">
        <v>54</v>
      </c>
      <c r="D5" s="29" t="s">
        <v>88</v>
      </c>
      <c r="E5" s="20" t="s">
        <v>55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39</v>
      </c>
      <c r="K5" s="53" t="s">
        <v>40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77</v>
      </c>
    </row>
    <row r="6" spans="1:24" ht="38.25">
      <c r="A6" s="324" t="s">
        <v>233</v>
      </c>
      <c r="B6" s="324" t="s">
        <v>233</v>
      </c>
      <c r="C6" s="324" t="s">
        <v>568</v>
      </c>
      <c r="D6" s="80"/>
      <c r="E6" s="81" t="s">
        <v>50</v>
      </c>
      <c r="F6" s="53" t="s">
        <v>563</v>
      </c>
      <c r="G6" s="79" t="s">
        <v>36</v>
      </c>
      <c r="H6" s="79" t="s">
        <v>37</v>
      </c>
      <c r="I6" s="79" t="s">
        <v>38</v>
      </c>
      <c r="J6" s="53" t="s">
        <v>39</v>
      </c>
      <c r="K6" s="53" t="s">
        <v>40</v>
      </c>
      <c r="L6" s="82">
        <v>43902</v>
      </c>
      <c r="M6" s="82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324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324"/>
    </row>
    <row r="7" spans="1:24" ht="38.25">
      <c r="A7" s="322" t="s">
        <v>253</v>
      </c>
      <c r="B7" s="322" t="s">
        <v>212</v>
      </c>
      <c r="C7" s="322" t="s">
        <v>100</v>
      </c>
      <c r="D7" s="29" t="s">
        <v>101</v>
      </c>
      <c r="E7" s="20" t="s">
        <v>102</v>
      </c>
      <c r="F7" s="53" t="s">
        <v>558</v>
      </c>
      <c r="G7" s="53" t="s">
        <v>36</v>
      </c>
      <c r="H7" s="53" t="s">
        <v>37</v>
      </c>
      <c r="I7" s="53" t="s">
        <v>38</v>
      </c>
      <c r="J7" s="53" t="s">
        <v>62</v>
      </c>
      <c r="K7" s="53" t="s">
        <v>414</v>
      </c>
      <c r="L7" s="69">
        <v>43892</v>
      </c>
      <c r="M7" s="69">
        <v>43895</v>
      </c>
      <c r="N7" s="326">
        <f>2026.59/2</f>
        <v>1013.295</v>
      </c>
      <c r="O7" s="326">
        <f>2026.59/2</f>
        <v>1013.295</v>
      </c>
      <c r="P7" s="70">
        <f t="shared" si="0"/>
        <v>2026.59</v>
      </c>
      <c r="Q7" s="8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7"/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322"/>
      <c r="B6" s="322"/>
      <c r="C6" s="322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322"/>
      <c r="B7" s="322"/>
      <c r="C7" s="322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322"/>
      <c r="B8" s="322"/>
      <c r="C8" s="322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324"/>
      <c r="B9" s="324"/>
      <c r="C9" s="324"/>
      <c r="D9" s="80"/>
      <c r="E9" s="81"/>
      <c r="F9" s="53"/>
      <c r="G9" s="79"/>
      <c r="H9" s="79"/>
      <c r="I9" s="79"/>
      <c r="J9" s="79"/>
      <c r="K9" s="79"/>
      <c r="L9" s="82"/>
      <c r="M9" s="82"/>
      <c r="N9" s="325"/>
      <c r="O9" s="325"/>
      <c r="P9" s="325"/>
      <c r="Q9" s="324"/>
      <c r="R9" s="70"/>
      <c r="S9" s="53"/>
      <c r="T9" s="70"/>
      <c r="U9" s="70"/>
      <c r="V9" s="70"/>
      <c r="W9" s="70"/>
      <c r="X9" s="324"/>
    </row>
    <row r="10" spans="1:24" ht="15">
      <c r="A10" s="324"/>
      <c r="B10" s="324"/>
      <c r="C10" s="32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325"/>
      <c r="O10" s="325"/>
      <c r="P10" s="32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324"/>
      <c r="B11" s="324"/>
      <c r="C11" s="32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325"/>
      <c r="O11" s="325"/>
      <c r="P11" s="32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322"/>
      <c r="B12" s="322"/>
      <c r="C12" s="322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326"/>
      <c r="O12" s="326"/>
      <c r="P12" s="32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322"/>
      <c r="B6" s="322"/>
      <c r="C6" s="322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322"/>
      <c r="B7" s="322"/>
      <c r="C7" s="322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322"/>
      <c r="B8" s="322"/>
      <c r="C8" s="322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324"/>
      <c r="B9" s="324"/>
      <c r="C9" s="324"/>
      <c r="D9" s="80"/>
      <c r="E9" s="81"/>
      <c r="F9" s="53"/>
      <c r="G9" s="79"/>
      <c r="H9" s="79"/>
      <c r="I9" s="79"/>
      <c r="J9" s="79"/>
      <c r="K9" s="79"/>
      <c r="L9" s="82"/>
      <c r="M9" s="82"/>
      <c r="N9" s="325"/>
      <c r="O9" s="325"/>
      <c r="P9" s="325"/>
      <c r="Q9" s="324"/>
      <c r="R9" s="70"/>
      <c r="S9" s="53"/>
      <c r="T9" s="70"/>
      <c r="U9" s="70"/>
      <c r="V9" s="70"/>
      <c r="W9" s="70"/>
      <c r="X9" s="324"/>
    </row>
    <row r="10" spans="1:24" ht="15">
      <c r="A10" s="324"/>
      <c r="B10" s="324"/>
      <c r="C10" s="32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325"/>
      <c r="O10" s="325"/>
      <c r="P10" s="32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324"/>
      <c r="B11" s="324"/>
      <c r="C11" s="32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325"/>
      <c r="O11" s="325"/>
      <c r="P11" s="32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322"/>
      <c r="B12" s="322"/>
      <c r="C12" s="322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326"/>
      <c r="O12" s="326"/>
      <c r="P12" s="32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322"/>
      <c r="B6" s="322"/>
      <c r="C6" s="322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322"/>
      <c r="B7" s="322"/>
      <c r="C7" s="322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322"/>
      <c r="B8" s="322"/>
      <c r="C8" s="322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324"/>
      <c r="B9" s="324"/>
      <c r="C9" s="324"/>
      <c r="D9" s="80"/>
      <c r="E9" s="81"/>
      <c r="F9" s="53"/>
      <c r="G9" s="79"/>
      <c r="H9" s="79"/>
      <c r="I9" s="79"/>
      <c r="J9" s="79"/>
      <c r="K9" s="79"/>
      <c r="L9" s="82"/>
      <c r="M9" s="82"/>
      <c r="N9" s="325"/>
      <c r="O9" s="325"/>
      <c r="P9" s="325"/>
      <c r="Q9" s="324"/>
      <c r="R9" s="70"/>
      <c r="S9" s="53"/>
      <c r="T9" s="70"/>
      <c r="U9" s="70"/>
      <c r="V9" s="70"/>
      <c r="W9" s="70"/>
      <c r="X9" s="324"/>
    </row>
    <row r="10" spans="1:24" ht="15">
      <c r="A10" s="324"/>
      <c r="B10" s="324"/>
      <c r="C10" s="32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325"/>
      <c r="O10" s="325"/>
      <c r="P10" s="32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324"/>
      <c r="B11" s="324"/>
      <c r="C11" s="32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325"/>
      <c r="O11" s="325"/>
      <c r="P11" s="32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322"/>
      <c r="B12" s="322"/>
      <c r="C12" s="322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326"/>
      <c r="O12" s="326"/>
      <c r="P12" s="32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322"/>
      <c r="B6" s="322"/>
      <c r="C6" s="322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322"/>
      <c r="B7" s="322"/>
      <c r="C7" s="322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322"/>
      <c r="B8" s="322"/>
      <c r="C8" s="322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324"/>
      <c r="B9" s="324"/>
      <c r="C9" s="324"/>
      <c r="D9" s="80"/>
      <c r="E9" s="81"/>
      <c r="F9" s="53"/>
      <c r="G9" s="79"/>
      <c r="H9" s="79"/>
      <c r="I9" s="79"/>
      <c r="J9" s="79"/>
      <c r="K9" s="79"/>
      <c r="L9" s="82"/>
      <c r="M9" s="82"/>
      <c r="N9" s="325"/>
      <c r="O9" s="325"/>
      <c r="P9" s="325"/>
      <c r="Q9" s="324"/>
      <c r="R9" s="70"/>
      <c r="S9" s="53"/>
      <c r="T9" s="70"/>
      <c r="U9" s="70"/>
      <c r="V9" s="70"/>
      <c r="W9" s="70"/>
      <c r="X9" s="324"/>
    </row>
    <row r="10" spans="1:24" ht="15">
      <c r="A10" s="324"/>
      <c r="B10" s="324"/>
      <c r="C10" s="32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325"/>
      <c r="O10" s="325"/>
      <c r="P10" s="32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324"/>
      <c r="B11" s="324"/>
      <c r="C11" s="32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325"/>
      <c r="O11" s="325"/>
      <c r="P11" s="32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322"/>
      <c r="B12" s="322"/>
      <c r="C12" s="322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326"/>
      <c r="O12" s="326"/>
      <c r="P12" s="32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322"/>
      <c r="B6" s="322"/>
      <c r="C6" s="322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322"/>
      <c r="B7" s="322"/>
      <c r="C7" s="322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322"/>
      <c r="B8" s="322"/>
      <c r="C8" s="322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324"/>
      <c r="B9" s="324"/>
      <c r="C9" s="324"/>
      <c r="D9" s="80"/>
      <c r="E9" s="81"/>
      <c r="F9" s="53"/>
      <c r="G9" s="79"/>
      <c r="H9" s="79"/>
      <c r="I9" s="79"/>
      <c r="J9" s="79"/>
      <c r="K9" s="79"/>
      <c r="L9" s="82"/>
      <c r="M9" s="82"/>
      <c r="N9" s="325"/>
      <c r="O9" s="325"/>
      <c r="P9" s="325"/>
      <c r="Q9" s="324"/>
      <c r="R9" s="70"/>
      <c r="S9" s="53"/>
      <c r="T9" s="70"/>
      <c r="U9" s="70"/>
      <c r="V9" s="70"/>
      <c r="W9" s="70"/>
      <c r="X9" s="324"/>
    </row>
    <row r="10" spans="1:24" ht="15">
      <c r="A10" s="324"/>
      <c r="B10" s="324"/>
      <c r="C10" s="32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325"/>
      <c r="O10" s="325"/>
      <c r="P10" s="32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324"/>
      <c r="B11" s="324"/>
      <c r="C11" s="32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325"/>
      <c r="O11" s="325"/>
      <c r="P11" s="32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322"/>
      <c r="B12" s="322"/>
      <c r="C12" s="322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326"/>
      <c r="O12" s="326"/>
      <c r="P12" s="32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322"/>
      <c r="B6" s="322"/>
      <c r="C6" s="322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322"/>
      <c r="B7" s="322"/>
      <c r="C7" s="322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322"/>
      <c r="B8" s="322"/>
      <c r="C8" s="322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324"/>
      <c r="B9" s="324"/>
      <c r="C9" s="324"/>
      <c r="D9" s="80"/>
      <c r="E9" s="81"/>
      <c r="F9" s="53"/>
      <c r="G9" s="79"/>
      <c r="H9" s="79"/>
      <c r="I9" s="79"/>
      <c r="J9" s="79"/>
      <c r="K9" s="79"/>
      <c r="L9" s="82"/>
      <c r="M9" s="82"/>
      <c r="N9" s="325"/>
      <c r="O9" s="325"/>
      <c r="P9" s="325"/>
      <c r="Q9" s="324"/>
      <c r="R9" s="70"/>
      <c r="S9" s="53"/>
      <c r="T9" s="70"/>
      <c r="U9" s="70"/>
      <c r="V9" s="70"/>
      <c r="W9" s="70"/>
      <c r="X9" s="324"/>
    </row>
    <row r="10" spans="1:24" ht="15">
      <c r="A10" s="324"/>
      <c r="B10" s="324"/>
      <c r="C10" s="32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325"/>
      <c r="O10" s="325"/>
      <c r="P10" s="32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324"/>
      <c r="B11" s="324"/>
      <c r="C11" s="32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325"/>
      <c r="O11" s="325"/>
      <c r="P11" s="32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322"/>
      <c r="B12" s="322"/>
      <c r="C12" s="322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326"/>
      <c r="O12" s="326"/>
      <c r="P12" s="32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51">
      <c r="A5" s="322" t="s">
        <v>371</v>
      </c>
      <c r="B5" s="322" t="s">
        <v>396</v>
      </c>
      <c r="C5" s="322" t="s">
        <v>267</v>
      </c>
      <c r="D5" s="29" t="s">
        <v>572</v>
      </c>
      <c r="E5" s="20" t="s">
        <v>157</v>
      </c>
      <c r="F5" s="53" t="s">
        <v>573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>
      <c r="A6" s="322" t="s">
        <v>253</v>
      </c>
      <c r="B6" s="322" t="s">
        <v>259</v>
      </c>
      <c r="C6" s="322" t="s">
        <v>320</v>
      </c>
      <c r="D6" s="56" t="s">
        <v>321</v>
      </c>
      <c r="E6" s="20" t="s">
        <v>343</v>
      </c>
      <c r="F6" s="53" t="s">
        <v>574</v>
      </c>
      <c r="G6" s="53" t="s">
        <v>36</v>
      </c>
      <c r="H6" s="53" t="s">
        <v>37</v>
      </c>
      <c r="I6" s="53" t="s">
        <v>38</v>
      </c>
      <c r="J6" s="53" t="s">
        <v>37</v>
      </c>
      <c r="K6" s="53" t="s">
        <v>391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25.5">
      <c r="A5" s="322" t="s">
        <v>253</v>
      </c>
      <c r="B5" s="322" t="s">
        <v>212</v>
      </c>
      <c r="C5" s="322" t="s">
        <v>539</v>
      </c>
      <c r="D5" s="56" t="s">
        <v>540</v>
      </c>
      <c r="E5" s="20" t="s">
        <v>541</v>
      </c>
      <c r="F5" s="53" t="s">
        <v>575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43009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189"/>
      <c r="B4" s="189"/>
      <c r="C4" s="189"/>
      <c r="D4" s="189"/>
      <c r="E4" s="189"/>
      <c r="F4" s="189"/>
      <c r="G4" s="189"/>
      <c r="H4" s="10" t="s">
        <v>26</v>
      </c>
      <c r="I4" s="10" t="s">
        <v>27</v>
      </c>
      <c r="J4" s="10" t="s">
        <v>26</v>
      </c>
      <c r="K4" s="11" t="s">
        <v>28</v>
      </c>
      <c r="L4" s="189"/>
      <c r="M4" s="189"/>
      <c r="N4" s="188"/>
      <c r="O4" s="188"/>
      <c r="P4" s="188"/>
      <c r="Q4" s="10" t="s">
        <v>29</v>
      </c>
      <c r="R4" s="11" t="s">
        <v>30</v>
      </c>
      <c r="S4" s="10" t="s">
        <v>29</v>
      </c>
      <c r="T4" s="11" t="s">
        <v>30</v>
      </c>
      <c r="U4" s="189"/>
      <c r="V4" s="188"/>
      <c r="W4" s="190"/>
      <c r="X4" s="242"/>
    </row>
    <row r="5" spans="1:24" ht="15">
      <c r="A5" s="322"/>
      <c r="B5" s="322"/>
      <c r="C5" s="322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77</v>
      </c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253</v>
      </c>
      <c r="B5" s="322" t="s">
        <v>234</v>
      </c>
      <c r="C5" s="322" t="s">
        <v>576</v>
      </c>
      <c r="D5" s="322">
        <v>285</v>
      </c>
      <c r="E5" s="322" t="s">
        <v>577</v>
      </c>
      <c r="F5" s="322" t="s">
        <v>578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>
      <c r="A6" s="322" t="s">
        <v>253</v>
      </c>
      <c r="B6" s="322" t="s">
        <v>234</v>
      </c>
      <c r="C6" s="322" t="s">
        <v>579</v>
      </c>
      <c r="D6" s="322">
        <v>218</v>
      </c>
      <c r="E6" s="322" t="s">
        <v>580</v>
      </c>
      <c r="F6" s="322" t="s">
        <v>578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>
      <c r="A7" s="327" t="s">
        <v>253</v>
      </c>
      <c r="B7" s="327" t="s">
        <v>259</v>
      </c>
      <c r="C7" s="327" t="s">
        <v>185</v>
      </c>
      <c r="D7" s="327">
        <v>119</v>
      </c>
      <c r="E7" s="246" t="s">
        <v>581</v>
      </c>
      <c r="F7" s="327" t="s">
        <v>582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583</v>
      </c>
      <c r="L7" s="69">
        <v>44312</v>
      </c>
      <c r="M7" s="69">
        <v>44313</v>
      </c>
      <c r="N7" s="249">
        <v>0</v>
      </c>
      <c r="O7" s="249">
        <v>0</v>
      </c>
      <c r="P7" s="247">
        <f t="shared" si="0"/>
        <v>0</v>
      </c>
      <c r="Q7" s="250">
        <v>5</v>
      </c>
      <c r="R7" s="252">
        <v>120</v>
      </c>
      <c r="S7" s="250">
        <v>0</v>
      </c>
      <c r="T7" s="252">
        <v>0</v>
      </c>
      <c r="U7" s="247">
        <f t="shared" si="1"/>
        <v>600</v>
      </c>
      <c r="V7" s="247">
        <f t="shared" si="2"/>
        <v>600</v>
      </c>
      <c r="W7" s="247">
        <f t="shared" si="3"/>
        <v>600</v>
      </c>
      <c r="X7" s="250"/>
    </row>
    <row r="8" spans="1:24" ht="15">
      <c r="A8" s="328"/>
      <c r="B8" s="328"/>
      <c r="C8" s="328"/>
      <c r="D8" s="328"/>
      <c r="E8" s="246"/>
      <c r="F8" s="328"/>
      <c r="G8" s="322" t="s">
        <v>36</v>
      </c>
      <c r="H8" s="322" t="s">
        <v>37</v>
      </c>
      <c r="I8" s="322" t="s">
        <v>38</v>
      </c>
      <c r="J8" s="322" t="s">
        <v>37</v>
      </c>
      <c r="K8" s="322" t="s">
        <v>391</v>
      </c>
      <c r="L8" s="69">
        <v>44313</v>
      </c>
      <c r="M8" s="69">
        <v>44316</v>
      </c>
      <c r="N8" s="249"/>
      <c r="O8" s="249"/>
      <c r="P8" s="248"/>
      <c r="Q8" s="251"/>
      <c r="R8" s="253"/>
      <c r="S8" s="251"/>
      <c r="T8" s="253"/>
      <c r="U8" s="248"/>
      <c r="V8" s="248"/>
      <c r="W8" s="248"/>
      <c r="X8" s="251"/>
    </row>
    <row r="9" spans="1:24" ht="15">
      <c r="A9" s="327" t="s">
        <v>253</v>
      </c>
      <c r="B9" s="327" t="s">
        <v>212</v>
      </c>
      <c r="C9" s="327" t="s">
        <v>270</v>
      </c>
      <c r="D9" s="327">
        <v>158</v>
      </c>
      <c r="E9" s="246" t="s">
        <v>584</v>
      </c>
      <c r="F9" s="327" t="s">
        <v>585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583</v>
      </c>
      <c r="L9" s="69">
        <v>44312</v>
      </c>
      <c r="M9" s="69">
        <v>44313</v>
      </c>
      <c r="N9" s="249">
        <v>0</v>
      </c>
      <c r="O9" s="249">
        <v>0</v>
      </c>
      <c r="P9" s="247">
        <f t="shared" ref="P9" si="4">SUM(N9:O9)</f>
        <v>0</v>
      </c>
      <c r="Q9" s="250">
        <v>5</v>
      </c>
      <c r="R9" s="252">
        <v>120</v>
      </c>
      <c r="S9" s="250">
        <v>0</v>
      </c>
      <c r="T9" s="252">
        <v>0</v>
      </c>
      <c r="U9" s="247">
        <f t="shared" ref="U9" si="5">(Q9*R9)+(S9*T9)</f>
        <v>600</v>
      </c>
      <c r="V9" s="247">
        <f t="shared" ref="V9" si="6">U9+P9</f>
        <v>600</v>
      </c>
      <c r="W9" s="247">
        <f t="shared" ref="W9" si="7">V9</f>
        <v>600</v>
      </c>
      <c r="X9" s="250"/>
    </row>
    <row r="10" spans="1:24" ht="15">
      <c r="A10" s="328"/>
      <c r="B10" s="328"/>
      <c r="C10" s="328"/>
      <c r="D10" s="328"/>
      <c r="E10" s="246"/>
      <c r="F10" s="328"/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391</v>
      </c>
      <c r="L10" s="69">
        <v>44313</v>
      </c>
      <c r="M10" s="69">
        <v>44316</v>
      </c>
      <c r="N10" s="249"/>
      <c r="O10" s="249"/>
      <c r="P10" s="248"/>
      <c r="Q10" s="251"/>
      <c r="R10" s="253"/>
      <c r="S10" s="251"/>
      <c r="T10" s="253"/>
      <c r="U10" s="248"/>
      <c r="V10" s="248"/>
      <c r="W10" s="248"/>
      <c r="X10" s="251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228</v>
      </c>
      <c r="B5" s="322" t="s">
        <v>229</v>
      </c>
      <c r="C5" s="322" t="s">
        <v>586</v>
      </c>
      <c r="D5" s="322">
        <v>357</v>
      </c>
      <c r="E5" s="322" t="s">
        <v>587</v>
      </c>
      <c r="F5" s="322" t="s">
        <v>588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>
      <c r="A6" s="322" t="s">
        <v>228</v>
      </c>
      <c r="B6" s="322" t="s">
        <v>229</v>
      </c>
      <c r="C6" s="322" t="s">
        <v>71</v>
      </c>
      <c r="D6" s="322">
        <v>303</v>
      </c>
      <c r="E6" s="322" t="s">
        <v>589</v>
      </c>
      <c r="F6" s="322" t="s">
        <v>588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>
      <c r="A7" s="322" t="s">
        <v>228</v>
      </c>
      <c r="B7" s="322" t="s">
        <v>229</v>
      </c>
      <c r="C7" s="322" t="s">
        <v>590</v>
      </c>
      <c r="D7" s="322">
        <v>72</v>
      </c>
      <c r="E7" s="322" t="s">
        <v>591</v>
      </c>
      <c r="F7" s="322" t="s">
        <v>588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>
      <c r="A8" s="322" t="s">
        <v>233</v>
      </c>
      <c r="B8" s="322" t="s">
        <v>259</v>
      </c>
      <c r="C8" s="322" t="s">
        <v>320</v>
      </c>
      <c r="D8" s="322">
        <v>346</v>
      </c>
      <c r="E8" s="322" t="s">
        <v>50</v>
      </c>
      <c r="F8" s="322" t="s">
        <v>592</v>
      </c>
      <c r="G8" s="322" t="s">
        <v>36</v>
      </c>
      <c r="H8" s="322" t="s">
        <v>37</v>
      </c>
      <c r="I8" s="322" t="s">
        <v>38</v>
      </c>
      <c r="J8" s="322" t="s">
        <v>37</v>
      </c>
      <c r="K8" s="322" t="s">
        <v>391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233</v>
      </c>
      <c r="B5" s="322" t="s">
        <v>212</v>
      </c>
      <c r="C5" s="322" t="s">
        <v>270</v>
      </c>
      <c r="D5" s="322">
        <v>158</v>
      </c>
      <c r="E5" s="322" t="s">
        <v>593</v>
      </c>
      <c r="F5" s="322" t="s">
        <v>594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>
      <c r="A6" s="322" t="s">
        <v>233</v>
      </c>
      <c r="B6" s="322" t="s">
        <v>212</v>
      </c>
      <c r="C6" s="322" t="s">
        <v>387</v>
      </c>
      <c r="D6" s="322">
        <v>347</v>
      </c>
      <c r="E6" s="322" t="s">
        <v>34</v>
      </c>
      <c r="F6" s="322" t="s">
        <v>594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>
      <c r="A7" s="322" t="s">
        <v>233</v>
      </c>
      <c r="B7" s="322" t="s">
        <v>212</v>
      </c>
      <c r="C7" s="322" t="s">
        <v>387</v>
      </c>
      <c r="D7" s="322">
        <v>347</v>
      </c>
      <c r="E7" s="322" t="s">
        <v>34</v>
      </c>
      <c r="F7" s="322" t="s">
        <v>594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595</v>
      </c>
      <c r="B5" s="322" t="s">
        <v>595</v>
      </c>
      <c r="C5" s="322" t="s">
        <v>412</v>
      </c>
      <c r="D5" s="29"/>
      <c r="E5" s="20" t="s">
        <v>562</v>
      </c>
      <c r="F5" s="322" t="s">
        <v>596</v>
      </c>
      <c r="G5" s="322" t="s">
        <v>36</v>
      </c>
      <c r="H5" s="322" t="s">
        <v>37</v>
      </c>
      <c r="I5" s="322" t="s">
        <v>38</v>
      </c>
      <c r="J5" s="322" t="s">
        <v>39</v>
      </c>
      <c r="K5" s="322" t="s">
        <v>40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>
      <c r="A6" s="322" t="s">
        <v>253</v>
      </c>
      <c r="B6" s="322" t="s">
        <v>253</v>
      </c>
      <c r="C6" s="322" t="s">
        <v>486</v>
      </c>
      <c r="D6" s="80"/>
      <c r="E6" s="81" t="s">
        <v>50</v>
      </c>
      <c r="F6" s="322" t="s">
        <v>597</v>
      </c>
      <c r="G6" s="322" t="s">
        <v>36</v>
      </c>
      <c r="H6" s="322" t="s">
        <v>37</v>
      </c>
      <c r="I6" s="322" t="s">
        <v>38</v>
      </c>
      <c r="J6" s="322" t="s">
        <v>598</v>
      </c>
      <c r="K6" s="322" t="s">
        <v>391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>
      <c r="A7" s="322" t="s">
        <v>253</v>
      </c>
      <c r="B7" s="322" t="s">
        <v>212</v>
      </c>
      <c r="C7" s="322" t="s">
        <v>387</v>
      </c>
      <c r="D7" s="322">
        <v>347</v>
      </c>
      <c r="E7" s="322" t="s">
        <v>34</v>
      </c>
      <c r="F7" s="322" t="s">
        <v>597</v>
      </c>
      <c r="G7" s="322" t="s">
        <v>36</v>
      </c>
      <c r="H7" s="322" t="s">
        <v>37</v>
      </c>
      <c r="I7" s="322" t="s">
        <v>38</v>
      </c>
      <c r="J7" s="322" t="s">
        <v>598</v>
      </c>
      <c r="K7" s="322" t="s">
        <v>391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>
      <c r="A8" s="322" t="s">
        <v>253</v>
      </c>
      <c r="B8" s="322" t="s">
        <v>212</v>
      </c>
      <c r="C8" s="322" t="s">
        <v>270</v>
      </c>
      <c r="D8" s="322">
        <v>158</v>
      </c>
      <c r="E8" s="322" t="s">
        <v>599</v>
      </c>
      <c r="F8" s="322" t="s">
        <v>597</v>
      </c>
      <c r="G8" s="322" t="s">
        <v>36</v>
      </c>
      <c r="H8" s="322" t="s">
        <v>37</v>
      </c>
      <c r="I8" s="322" t="s">
        <v>38</v>
      </c>
      <c r="J8" s="322" t="s">
        <v>598</v>
      </c>
      <c r="K8" s="322" t="s">
        <v>391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253</v>
      </c>
      <c r="B5" s="322" t="s">
        <v>212</v>
      </c>
      <c r="C5" s="322" t="s">
        <v>270</v>
      </c>
      <c r="D5" s="29" t="s">
        <v>168</v>
      </c>
      <c r="E5" s="322" t="s">
        <v>599</v>
      </c>
      <c r="F5" s="322" t="s">
        <v>594</v>
      </c>
      <c r="G5" s="322" t="s">
        <v>36</v>
      </c>
      <c r="H5" s="322" t="s">
        <v>37</v>
      </c>
      <c r="I5" s="322" t="s">
        <v>38</v>
      </c>
      <c r="J5" s="322" t="s">
        <v>39</v>
      </c>
      <c r="K5" s="322" t="s">
        <v>391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>
      <c r="A6" s="322" t="s">
        <v>253</v>
      </c>
      <c r="B6" s="322" t="s">
        <v>212</v>
      </c>
      <c r="C6" s="322" t="s">
        <v>387</v>
      </c>
      <c r="D6" s="80" t="s">
        <v>388</v>
      </c>
      <c r="E6" s="322" t="s">
        <v>34</v>
      </c>
      <c r="F6" s="322" t="s">
        <v>600</v>
      </c>
      <c r="G6" s="322" t="s">
        <v>36</v>
      </c>
      <c r="H6" s="322" t="s">
        <v>37</v>
      </c>
      <c r="I6" s="322" t="s">
        <v>38</v>
      </c>
      <c r="J6" s="322" t="s">
        <v>598</v>
      </c>
      <c r="K6" s="322" t="s">
        <v>391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>
      <c r="A7" s="322" t="s">
        <v>253</v>
      </c>
      <c r="B7" s="322" t="s">
        <v>322</v>
      </c>
      <c r="C7" s="322" t="s">
        <v>457</v>
      </c>
      <c r="D7" s="80">
        <v>144</v>
      </c>
      <c r="E7" s="322" t="s">
        <v>114</v>
      </c>
      <c r="F7" s="322" t="s">
        <v>601</v>
      </c>
      <c r="G7" s="322" t="s">
        <v>36</v>
      </c>
      <c r="H7" s="322" t="s">
        <v>37</v>
      </c>
      <c r="I7" s="322" t="s">
        <v>38</v>
      </c>
      <c r="J7" s="322" t="s">
        <v>598</v>
      </c>
      <c r="K7" s="322" t="s">
        <v>391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>
      <c r="A8" s="322" t="s">
        <v>253</v>
      </c>
      <c r="B8" s="322" t="s">
        <v>322</v>
      </c>
      <c r="C8" s="322" t="s">
        <v>350</v>
      </c>
      <c r="D8" s="80" t="s">
        <v>351</v>
      </c>
      <c r="E8" s="322" t="s">
        <v>114</v>
      </c>
      <c r="F8" s="322" t="s">
        <v>602</v>
      </c>
      <c r="G8" s="322" t="s">
        <v>36</v>
      </c>
      <c r="H8" s="322" t="s">
        <v>37</v>
      </c>
      <c r="I8" s="322" t="s">
        <v>38</v>
      </c>
      <c r="J8" s="322" t="s">
        <v>598</v>
      </c>
      <c r="K8" s="322" t="s">
        <v>391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>
      <c r="A9" s="322" t="s">
        <v>253</v>
      </c>
      <c r="B9" s="322" t="s">
        <v>322</v>
      </c>
      <c r="C9" s="322" t="s">
        <v>92</v>
      </c>
      <c r="D9" s="56" t="s">
        <v>93</v>
      </c>
      <c r="E9" s="322" t="s">
        <v>603</v>
      </c>
      <c r="F9" s="322" t="s">
        <v>602</v>
      </c>
      <c r="G9" s="322" t="s">
        <v>36</v>
      </c>
      <c r="H9" s="322" t="s">
        <v>37</v>
      </c>
      <c r="I9" s="322" t="s">
        <v>38</v>
      </c>
      <c r="J9" s="322" t="s">
        <v>598</v>
      </c>
      <c r="K9" s="322" t="s">
        <v>391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77" t="s">
        <v>253</v>
      </c>
      <c r="B5" s="77" t="s">
        <v>253</v>
      </c>
      <c r="C5" s="77" t="s">
        <v>320</v>
      </c>
      <c r="D5" s="77">
        <v>346</v>
      </c>
      <c r="E5" s="77" t="s">
        <v>50</v>
      </c>
      <c r="F5" s="77" t="s">
        <v>604</v>
      </c>
      <c r="G5" s="322" t="s">
        <v>36</v>
      </c>
      <c r="H5" s="322" t="s">
        <v>37</v>
      </c>
      <c r="I5" s="322" t="s">
        <v>38</v>
      </c>
      <c r="J5" s="322" t="s">
        <v>109</v>
      </c>
      <c r="K5" s="322" t="s">
        <v>110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>
      <c r="A6" s="77" t="s">
        <v>253</v>
      </c>
      <c r="B6" s="77" t="s">
        <v>212</v>
      </c>
      <c r="C6" s="77" t="s">
        <v>387</v>
      </c>
      <c r="D6" s="77" t="s">
        <v>388</v>
      </c>
      <c r="E6" s="77" t="s">
        <v>34</v>
      </c>
      <c r="F6" s="77" t="s">
        <v>605</v>
      </c>
      <c r="G6" s="322" t="s">
        <v>36</v>
      </c>
      <c r="H6" s="322" t="s">
        <v>37</v>
      </c>
      <c r="I6" s="322" t="s">
        <v>38</v>
      </c>
      <c r="J6" s="322" t="s">
        <v>598</v>
      </c>
      <c r="K6" s="322" t="s">
        <v>391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77" t="s">
        <v>599</v>
      </c>
      <c r="F7" s="77" t="s">
        <v>606</v>
      </c>
      <c r="G7" s="322" t="s">
        <v>36</v>
      </c>
      <c r="H7" s="322" t="s">
        <v>37</v>
      </c>
      <c r="I7" s="322" t="s">
        <v>38</v>
      </c>
      <c r="J7" s="322" t="s">
        <v>598</v>
      </c>
      <c r="K7" s="322" t="s">
        <v>391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>
      <c r="A8" s="77" t="s">
        <v>253</v>
      </c>
      <c r="B8" s="77" t="s">
        <v>288</v>
      </c>
      <c r="C8" s="77" t="s">
        <v>237</v>
      </c>
      <c r="D8" s="85">
        <v>82</v>
      </c>
      <c r="E8" s="77" t="s">
        <v>84</v>
      </c>
      <c r="F8" s="77" t="s">
        <v>607</v>
      </c>
      <c r="G8" s="322" t="s">
        <v>36</v>
      </c>
      <c r="H8" s="322" t="s">
        <v>37</v>
      </c>
      <c r="I8" s="322" t="s">
        <v>38</v>
      </c>
      <c r="J8" s="322" t="s">
        <v>598</v>
      </c>
      <c r="K8" s="322" t="s">
        <v>391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>
      <c r="Q9" s="83"/>
    </row>
    <row r="10" spans="1:24">
      <c r="Q10" s="83"/>
    </row>
    <row r="11" spans="1:24">
      <c r="Q11" s="83"/>
    </row>
    <row r="12" spans="1:24">
      <c r="Q12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77" t="s">
        <v>595</v>
      </c>
      <c r="B5" s="77" t="s">
        <v>544</v>
      </c>
      <c r="C5" s="77" t="s">
        <v>545</v>
      </c>
      <c r="D5" s="80">
        <v>353</v>
      </c>
      <c r="E5" s="322" t="s">
        <v>547</v>
      </c>
      <c r="F5" s="322" t="s">
        <v>608</v>
      </c>
      <c r="G5" s="322" t="s">
        <v>36</v>
      </c>
      <c r="H5" s="322" t="s">
        <v>37</v>
      </c>
      <c r="I5" s="322" t="s">
        <v>38</v>
      </c>
      <c r="J5" s="322" t="s">
        <v>598</v>
      </c>
      <c r="K5" s="322" t="s">
        <v>391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>
      <c r="A6" s="77" t="s">
        <v>595</v>
      </c>
      <c r="B6" s="77" t="s">
        <v>366</v>
      </c>
      <c r="C6" s="77" t="s">
        <v>367</v>
      </c>
      <c r="D6" s="80">
        <v>23</v>
      </c>
      <c r="E6" s="322" t="s">
        <v>609</v>
      </c>
      <c r="F6" s="322" t="s">
        <v>608</v>
      </c>
      <c r="G6" s="322" t="s">
        <v>36</v>
      </c>
      <c r="H6" s="322" t="s">
        <v>37</v>
      </c>
      <c r="I6" s="322" t="s">
        <v>38</v>
      </c>
      <c r="J6" s="322" t="s">
        <v>598</v>
      </c>
      <c r="K6" s="322" t="s">
        <v>391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>
      <c r="A7" s="77" t="s">
        <v>595</v>
      </c>
      <c r="B7" s="77" t="s">
        <v>221</v>
      </c>
      <c r="C7" s="77" t="s">
        <v>54</v>
      </c>
      <c r="D7" s="80">
        <v>56</v>
      </c>
      <c r="E7" s="322" t="s">
        <v>610</v>
      </c>
      <c r="F7" s="322" t="s">
        <v>608</v>
      </c>
      <c r="G7" s="322" t="s">
        <v>36</v>
      </c>
      <c r="H7" s="322" t="s">
        <v>37</v>
      </c>
      <c r="I7" s="322" t="s">
        <v>38</v>
      </c>
      <c r="J7" s="322" t="s">
        <v>598</v>
      </c>
      <c r="K7" s="322" t="s">
        <v>391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>
      <c r="A8" s="77" t="s">
        <v>595</v>
      </c>
      <c r="B8" s="77" t="s">
        <v>221</v>
      </c>
      <c r="C8" s="77" t="s">
        <v>277</v>
      </c>
      <c r="D8" s="80">
        <v>157</v>
      </c>
      <c r="E8" s="322" t="s">
        <v>501</v>
      </c>
      <c r="F8" s="322" t="s">
        <v>608</v>
      </c>
      <c r="G8" s="322" t="s">
        <v>36</v>
      </c>
      <c r="H8" s="322" t="s">
        <v>37</v>
      </c>
      <c r="I8" s="322" t="s">
        <v>38</v>
      </c>
      <c r="J8" s="322" t="s">
        <v>598</v>
      </c>
      <c r="K8" s="322" t="s">
        <v>391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>
      <c r="A9" s="77" t="s">
        <v>595</v>
      </c>
      <c r="B9" s="77" t="s">
        <v>595</v>
      </c>
      <c r="C9" s="77" t="s">
        <v>412</v>
      </c>
      <c r="D9" s="86">
        <v>0</v>
      </c>
      <c r="E9" s="322" t="s">
        <v>562</v>
      </c>
      <c r="F9" s="322" t="s">
        <v>608</v>
      </c>
      <c r="G9" s="322" t="s">
        <v>36</v>
      </c>
      <c r="H9" s="322" t="s">
        <v>37</v>
      </c>
      <c r="I9" s="322" t="s">
        <v>38</v>
      </c>
      <c r="J9" s="322" t="s">
        <v>598</v>
      </c>
      <c r="K9" s="322" t="s">
        <v>391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>
      <c r="A10" s="77" t="s">
        <v>371</v>
      </c>
      <c r="B10" s="77" t="s">
        <v>371</v>
      </c>
      <c r="C10" s="77" t="s">
        <v>137</v>
      </c>
      <c r="D10" s="80">
        <v>202</v>
      </c>
      <c r="E10" s="322" t="s">
        <v>78</v>
      </c>
      <c r="F10" s="322" t="s">
        <v>608</v>
      </c>
      <c r="G10" s="322" t="s">
        <v>36</v>
      </c>
      <c r="H10" s="322" t="s">
        <v>37</v>
      </c>
      <c r="I10" s="322" t="s">
        <v>38</v>
      </c>
      <c r="J10" s="322" t="s">
        <v>598</v>
      </c>
      <c r="K10" s="322" t="s">
        <v>391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>
      <c r="A11" s="77" t="s">
        <v>253</v>
      </c>
      <c r="B11" s="77" t="s">
        <v>259</v>
      </c>
      <c r="C11" s="77" t="s">
        <v>433</v>
      </c>
      <c r="D11" s="80">
        <v>264</v>
      </c>
      <c r="E11" s="322" t="s">
        <v>611</v>
      </c>
      <c r="F11" s="322" t="s">
        <v>608</v>
      </c>
      <c r="G11" s="322" t="s">
        <v>36</v>
      </c>
      <c r="H11" s="322" t="s">
        <v>37</v>
      </c>
      <c r="I11" s="322" t="s">
        <v>38</v>
      </c>
      <c r="J11" s="322" t="s">
        <v>598</v>
      </c>
      <c r="K11" s="322" t="s">
        <v>391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>
      <c r="A12" s="77" t="s">
        <v>253</v>
      </c>
      <c r="B12" s="77" t="s">
        <v>253</v>
      </c>
      <c r="C12" s="77" t="s">
        <v>486</v>
      </c>
      <c r="D12" s="86">
        <v>0</v>
      </c>
      <c r="E12" s="322" t="s">
        <v>50</v>
      </c>
      <c r="F12" s="322" t="s">
        <v>608</v>
      </c>
      <c r="G12" s="322" t="s">
        <v>36</v>
      </c>
      <c r="H12" s="322" t="s">
        <v>37</v>
      </c>
      <c r="I12" s="322" t="s">
        <v>38</v>
      </c>
      <c r="J12" s="322" t="s">
        <v>598</v>
      </c>
      <c r="K12" s="322" t="s">
        <v>391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>
      <c r="A13" s="77" t="s">
        <v>253</v>
      </c>
      <c r="B13" s="77" t="s">
        <v>212</v>
      </c>
      <c r="C13" s="77" t="s">
        <v>387</v>
      </c>
      <c r="D13" s="86">
        <v>347</v>
      </c>
      <c r="E13" s="322" t="s">
        <v>34</v>
      </c>
      <c r="F13" s="322" t="s">
        <v>608</v>
      </c>
      <c r="G13" s="322" t="s">
        <v>36</v>
      </c>
      <c r="H13" s="322" t="s">
        <v>37</v>
      </c>
      <c r="I13" s="322" t="s">
        <v>38</v>
      </c>
      <c r="J13" s="322" t="s">
        <v>598</v>
      </c>
      <c r="K13" s="322" t="s">
        <v>391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>
      <c r="A14" s="77" t="s">
        <v>253</v>
      </c>
      <c r="B14" s="77" t="s">
        <v>253</v>
      </c>
      <c r="C14" s="77" t="s">
        <v>320</v>
      </c>
      <c r="D14" s="80">
        <v>346</v>
      </c>
      <c r="E14" s="322" t="s">
        <v>78</v>
      </c>
      <c r="F14" s="322" t="s">
        <v>608</v>
      </c>
      <c r="G14" s="322" t="s">
        <v>36</v>
      </c>
      <c r="H14" s="322" t="s">
        <v>37</v>
      </c>
      <c r="I14" s="322" t="s">
        <v>38</v>
      </c>
      <c r="J14" s="322" t="s">
        <v>598</v>
      </c>
      <c r="K14" s="322" t="s">
        <v>391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>
      <c r="A15" s="77" t="s">
        <v>253</v>
      </c>
      <c r="B15" s="77" t="s">
        <v>288</v>
      </c>
      <c r="C15" s="77" t="s">
        <v>237</v>
      </c>
      <c r="D15" s="80">
        <v>82</v>
      </c>
      <c r="E15" s="322" t="s">
        <v>84</v>
      </c>
      <c r="F15" s="322" t="s">
        <v>608</v>
      </c>
      <c r="G15" s="322" t="s">
        <v>36</v>
      </c>
      <c r="H15" s="322" t="s">
        <v>37</v>
      </c>
      <c r="I15" s="322" t="s">
        <v>38</v>
      </c>
      <c r="J15" s="322" t="s">
        <v>598</v>
      </c>
      <c r="K15" s="322" t="s">
        <v>391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>
      <c r="A16" s="77" t="s">
        <v>371</v>
      </c>
      <c r="B16" s="77" t="s">
        <v>371</v>
      </c>
      <c r="C16" s="77" t="s">
        <v>79</v>
      </c>
      <c r="D16" s="86">
        <v>0</v>
      </c>
      <c r="E16" s="322" t="s">
        <v>80</v>
      </c>
      <c r="F16" s="322" t="s">
        <v>608</v>
      </c>
      <c r="G16" s="322" t="s">
        <v>36</v>
      </c>
      <c r="H16" s="322" t="s">
        <v>37</v>
      </c>
      <c r="I16" s="322" t="s">
        <v>38</v>
      </c>
      <c r="J16" s="322" t="s">
        <v>598</v>
      </c>
      <c r="K16" s="322" t="s">
        <v>391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>
      <c r="A17" s="77" t="s">
        <v>595</v>
      </c>
      <c r="B17" s="77" t="s">
        <v>305</v>
      </c>
      <c r="C17" s="77" t="s">
        <v>612</v>
      </c>
      <c r="D17" s="86">
        <v>355</v>
      </c>
      <c r="E17" s="322" t="s">
        <v>308</v>
      </c>
      <c r="F17" s="322" t="s">
        <v>608</v>
      </c>
      <c r="G17" s="322" t="s">
        <v>36</v>
      </c>
      <c r="H17" s="322" t="s">
        <v>37</v>
      </c>
      <c r="I17" s="322" t="s">
        <v>38</v>
      </c>
      <c r="J17" s="322" t="s">
        <v>598</v>
      </c>
      <c r="K17" s="322" t="s">
        <v>391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>
      <c r="A18" s="77" t="s">
        <v>253</v>
      </c>
      <c r="B18" s="77" t="s">
        <v>259</v>
      </c>
      <c r="C18" s="77" t="s">
        <v>613</v>
      </c>
      <c r="D18" s="86">
        <v>372</v>
      </c>
      <c r="E18" s="322" t="s">
        <v>614</v>
      </c>
      <c r="F18" s="322" t="s">
        <v>608</v>
      </c>
      <c r="G18" s="322" t="s">
        <v>36</v>
      </c>
      <c r="H18" s="322" t="s">
        <v>37</v>
      </c>
      <c r="I18" s="322" t="s">
        <v>38</v>
      </c>
      <c r="J18" s="322" t="s">
        <v>598</v>
      </c>
      <c r="K18" s="322" t="s">
        <v>391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>
      <c r="A19" s="77" t="s">
        <v>253</v>
      </c>
      <c r="B19" s="77" t="s">
        <v>259</v>
      </c>
      <c r="C19" s="77" t="s">
        <v>383</v>
      </c>
      <c r="D19" s="86">
        <v>64</v>
      </c>
      <c r="E19" s="322" t="s">
        <v>265</v>
      </c>
      <c r="F19" s="322" t="s">
        <v>608</v>
      </c>
      <c r="G19" s="322" t="s">
        <v>36</v>
      </c>
      <c r="H19" s="322" t="s">
        <v>37</v>
      </c>
      <c r="I19" s="322" t="s">
        <v>38</v>
      </c>
      <c r="J19" s="322" t="s">
        <v>598</v>
      </c>
      <c r="K19" s="322" t="s">
        <v>391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>
      <c r="A20" s="77" t="s">
        <v>595</v>
      </c>
      <c r="B20" s="77" t="s">
        <v>305</v>
      </c>
      <c r="C20" s="77" t="s">
        <v>615</v>
      </c>
      <c r="D20" s="86">
        <v>366</v>
      </c>
      <c r="E20" s="322" t="s">
        <v>616</v>
      </c>
      <c r="F20" s="322" t="s">
        <v>608</v>
      </c>
      <c r="G20" s="322" t="s">
        <v>36</v>
      </c>
      <c r="H20" s="322" t="s">
        <v>37</v>
      </c>
      <c r="I20" s="322" t="s">
        <v>38</v>
      </c>
      <c r="J20" s="322" t="s">
        <v>598</v>
      </c>
      <c r="K20" s="322" t="s">
        <v>391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>
      <c r="A21" s="77" t="s">
        <v>253</v>
      </c>
      <c r="B21" s="77" t="s">
        <v>212</v>
      </c>
      <c r="C21" s="77" t="s">
        <v>387</v>
      </c>
      <c r="D21" s="86">
        <v>347</v>
      </c>
      <c r="E21" s="322" t="s">
        <v>34</v>
      </c>
      <c r="F21" s="322" t="s">
        <v>605</v>
      </c>
      <c r="G21" s="322" t="s">
        <v>36</v>
      </c>
      <c r="H21" s="322" t="s">
        <v>37</v>
      </c>
      <c r="I21" s="322" t="s">
        <v>38</v>
      </c>
      <c r="J21" s="322" t="s">
        <v>598</v>
      </c>
      <c r="K21" s="322" t="s">
        <v>391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>
      <c r="A22" s="77" t="s">
        <v>371</v>
      </c>
      <c r="B22" s="77" t="s">
        <v>371</v>
      </c>
      <c r="C22" s="77" t="s">
        <v>617</v>
      </c>
      <c r="D22" s="86">
        <v>57</v>
      </c>
      <c r="E22" s="322" t="s">
        <v>618</v>
      </c>
      <c r="F22" s="322" t="s">
        <v>608</v>
      </c>
      <c r="G22" s="322" t="s">
        <v>36</v>
      </c>
      <c r="H22" s="322" t="s">
        <v>37</v>
      </c>
      <c r="I22" s="322" t="s">
        <v>38</v>
      </c>
      <c r="J22" s="322" t="s">
        <v>598</v>
      </c>
      <c r="K22" s="322" t="s">
        <v>391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>
      <c r="A23" s="77" t="s">
        <v>253</v>
      </c>
      <c r="B23" s="77" t="s">
        <v>288</v>
      </c>
      <c r="C23" s="77" t="s">
        <v>345</v>
      </c>
      <c r="D23" s="86">
        <v>74</v>
      </c>
      <c r="E23" s="322" t="s">
        <v>315</v>
      </c>
      <c r="F23" s="322" t="s">
        <v>619</v>
      </c>
      <c r="G23" s="322" t="s">
        <v>36</v>
      </c>
      <c r="H23" s="322" t="s">
        <v>37</v>
      </c>
      <c r="I23" s="322" t="s">
        <v>38</v>
      </c>
      <c r="J23" s="322" t="s">
        <v>598</v>
      </c>
      <c r="K23" s="322" t="s">
        <v>391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>
      <c r="A24" s="77" t="s">
        <v>253</v>
      </c>
      <c r="B24" s="77" t="s">
        <v>234</v>
      </c>
      <c r="C24" s="77" t="s">
        <v>620</v>
      </c>
      <c r="D24" s="86">
        <v>365</v>
      </c>
      <c r="E24" s="322" t="s">
        <v>239</v>
      </c>
      <c r="F24" s="322" t="s">
        <v>621</v>
      </c>
      <c r="G24" s="322" t="s">
        <v>36</v>
      </c>
      <c r="H24" s="322" t="s">
        <v>37</v>
      </c>
      <c r="I24" s="322" t="s">
        <v>38</v>
      </c>
      <c r="J24" s="322" t="s">
        <v>598</v>
      </c>
      <c r="K24" s="322" t="s">
        <v>391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>
      <c r="A25" s="77" t="s">
        <v>253</v>
      </c>
      <c r="B25" s="77" t="s">
        <v>234</v>
      </c>
      <c r="C25" s="77" t="s">
        <v>622</v>
      </c>
      <c r="D25" s="86">
        <v>314</v>
      </c>
      <c r="E25" s="322" t="s">
        <v>523</v>
      </c>
      <c r="F25" s="322" t="s">
        <v>621</v>
      </c>
      <c r="G25" s="322" t="s">
        <v>36</v>
      </c>
      <c r="H25" s="322" t="s">
        <v>37</v>
      </c>
      <c r="I25" s="322" t="s">
        <v>38</v>
      </c>
      <c r="J25" s="322" t="s">
        <v>598</v>
      </c>
      <c r="K25" s="322" t="s">
        <v>391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>
      <c r="A26" s="77" t="s">
        <v>253</v>
      </c>
      <c r="B26" s="77" t="s">
        <v>288</v>
      </c>
      <c r="C26" s="77" t="s">
        <v>623</v>
      </c>
      <c r="D26" s="86">
        <v>301</v>
      </c>
      <c r="E26" s="322" t="s">
        <v>624</v>
      </c>
      <c r="F26" s="322" t="s">
        <v>608</v>
      </c>
      <c r="G26" s="322" t="s">
        <v>36</v>
      </c>
      <c r="H26" s="322" t="s">
        <v>37</v>
      </c>
      <c r="I26" s="322" t="s">
        <v>38</v>
      </c>
      <c r="J26" s="322" t="s">
        <v>598</v>
      </c>
      <c r="K26" s="322" t="s">
        <v>391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>
      <c r="A27" s="77" t="s">
        <v>253</v>
      </c>
      <c r="B27" s="77" t="s">
        <v>253</v>
      </c>
      <c r="C27" s="77" t="s">
        <v>320</v>
      </c>
      <c r="D27" s="80">
        <v>346</v>
      </c>
      <c r="E27" s="322" t="s">
        <v>78</v>
      </c>
      <c r="F27" s="322" t="s">
        <v>621</v>
      </c>
      <c r="G27" s="322" t="s">
        <v>36</v>
      </c>
      <c r="H27" s="322" t="s">
        <v>37</v>
      </c>
      <c r="I27" s="322" t="s">
        <v>38</v>
      </c>
      <c r="J27" s="322" t="s">
        <v>62</v>
      </c>
      <c r="K27" s="322" t="s">
        <v>63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>
      <c r="A28" s="77" t="s">
        <v>253</v>
      </c>
      <c r="B28" s="77" t="s">
        <v>322</v>
      </c>
      <c r="C28" s="77" t="s">
        <v>456</v>
      </c>
      <c r="D28" s="47">
        <v>300</v>
      </c>
      <c r="E28" s="322" t="s">
        <v>625</v>
      </c>
      <c r="F28" s="322" t="s">
        <v>626</v>
      </c>
      <c r="G28" s="322" t="s">
        <v>36</v>
      </c>
      <c r="H28" s="322" t="s">
        <v>37</v>
      </c>
      <c r="I28" s="322" t="s">
        <v>38</v>
      </c>
      <c r="J28" s="322" t="s">
        <v>598</v>
      </c>
      <c r="K28" s="322" t="s">
        <v>391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43009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77" t="s">
        <v>253</v>
      </c>
      <c r="B5" s="77" t="s">
        <v>259</v>
      </c>
      <c r="C5" s="77" t="s">
        <v>185</v>
      </c>
      <c r="D5" s="80" t="s">
        <v>186</v>
      </c>
      <c r="E5" s="322" t="s">
        <v>385</v>
      </c>
      <c r="F5" s="77" t="s">
        <v>627</v>
      </c>
      <c r="G5" s="322" t="s">
        <v>36</v>
      </c>
      <c r="H5" s="322" t="s">
        <v>37</v>
      </c>
      <c r="I5" s="322" t="s">
        <v>38</v>
      </c>
      <c r="J5" s="322" t="s">
        <v>116</v>
      </c>
      <c r="K5" s="322" t="s">
        <v>628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>
      <c r="A6" s="77" t="s">
        <v>253</v>
      </c>
      <c r="B6" s="77" t="s">
        <v>253</v>
      </c>
      <c r="C6" s="77" t="s">
        <v>320</v>
      </c>
      <c r="D6" s="80" t="s">
        <v>629</v>
      </c>
      <c r="E6" s="322" t="s">
        <v>78</v>
      </c>
      <c r="F6" s="77" t="s">
        <v>630</v>
      </c>
      <c r="G6" s="322" t="s">
        <v>36</v>
      </c>
      <c r="H6" s="322" t="s">
        <v>37</v>
      </c>
      <c r="I6" s="322" t="s">
        <v>38</v>
      </c>
      <c r="J6" s="322" t="s">
        <v>116</v>
      </c>
      <c r="K6" s="322" t="s">
        <v>628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322" t="s">
        <v>599</v>
      </c>
      <c r="F7" s="77" t="s">
        <v>631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>
      <c r="A8" s="77" t="s">
        <v>253</v>
      </c>
      <c r="B8" s="77" t="s">
        <v>212</v>
      </c>
      <c r="C8" s="77" t="s">
        <v>387</v>
      </c>
      <c r="D8" s="86">
        <v>347</v>
      </c>
      <c r="E8" s="322" t="s">
        <v>34</v>
      </c>
      <c r="F8" s="77" t="s">
        <v>632</v>
      </c>
      <c r="G8" s="322" t="s">
        <v>36</v>
      </c>
      <c r="H8" s="322" t="s">
        <v>37</v>
      </c>
      <c r="I8" s="322" t="s">
        <v>38</v>
      </c>
      <c r="J8" s="322" t="s">
        <v>37</v>
      </c>
      <c r="K8" s="322" t="s">
        <v>391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>
      <c r="A9" s="77" t="s">
        <v>253</v>
      </c>
      <c r="B9" s="77" t="s">
        <v>234</v>
      </c>
      <c r="C9" s="77" t="s">
        <v>576</v>
      </c>
      <c r="D9" s="86">
        <v>285</v>
      </c>
      <c r="E9" s="322" t="s">
        <v>187</v>
      </c>
      <c r="F9" s="77" t="s">
        <v>633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391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>
      <c r="A10" s="77" t="s">
        <v>253</v>
      </c>
      <c r="B10" s="77" t="s">
        <v>234</v>
      </c>
      <c r="C10" s="77" t="s">
        <v>622</v>
      </c>
      <c r="D10" s="86">
        <v>314</v>
      </c>
      <c r="E10" s="322" t="s">
        <v>523</v>
      </c>
      <c r="F10" s="77" t="s">
        <v>633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391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>
      <c r="A11" s="77" t="s">
        <v>253</v>
      </c>
      <c r="B11" s="77" t="s">
        <v>234</v>
      </c>
      <c r="C11" s="77" t="s">
        <v>620</v>
      </c>
      <c r="D11" s="47">
        <v>365</v>
      </c>
      <c r="E11" s="322" t="s">
        <v>239</v>
      </c>
      <c r="F11" s="77" t="s">
        <v>633</v>
      </c>
      <c r="G11" s="322" t="s">
        <v>36</v>
      </c>
      <c r="H11" s="322" t="s">
        <v>37</v>
      </c>
      <c r="I11" s="322" t="s">
        <v>38</v>
      </c>
      <c r="J11" s="322" t="s">
        <v>37</v>
      </c>
      <c r="K11" s="322" t="s">
        <v>391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42.75">
      <c r="A5" s="84" t="s">
        <v>253</v>
      </c>
      <c r="B5" s="84" t="s">
        <v>259</v>
      </c>
      <c r="C5" s="84" t="s">
        <v>185</v>
      </c>
      <c r="D5" s="84">
        <v>119</v>
      </c>
      <c r="E5" s="84" t="s">
        <v>385</v>
      </c>
      <c r="F5" s="87" t="s">
        <v>634</v>
      </c>
      <c r="G5" s="84" t="s">
        <v>36</v>
      </c>
      <c r="H5" s="84" t="s">
        <v>37</v>
      </c>
      <c r="I5" s="84" t="s">
        <v>38</v>
      </c>
      <c r="J5" s="84" t="s">
        <v>598</v>
      </c>
      <c r="K5" s="84" t="s">
        <v>391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>
      <c r="A6" s="84" t="s">
        <v>253</v>
      </c>
      <c r="B6" s="84" t="s">
        <v>259</v>
      </c>
      <c r="C6" s="84" t="s">
        <v>613</v>
      </c>
      <c r="D6" s="84">
        <v>372</v>
      </c>
      <c r="E6" s="84" t="s">
        <v>614</v>
      </c>
      <c r="F6" s="84" t="s">
        <v>635</v>
      </c>
      <c r="G6" s="84" t="s">
        <v>36</v>
      </c>
      <c r="H6" s="84" t="s">
        <v>37</v>
      </c>
      <c r="I6" s="84" t="s">
        <v>38</v>
      </c>
      <c r="J6" s="84" t="s">
        <v>598</v>
      </c>
      <c r="K6" s="84" t="s">
        <v>391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>
      <c r="A7" s="84" t="s">
        <v>253</v>
      </c>
      <c r="B7" s="84" t="s">
        <v>288</v>
      </c>
      <c r="C7" s="84" t="s">
        <v>636</v>
      </c>
      <c r="D7" s="84">
        <v>78</v>
      </c>
      <c r="E7" s="84" t="s">
        <v>98</v>
      </c>
      <c r="F7" s="84" t="s">
        <v>637</v>
      </c>
      <c r="G7" s="84" t="s">
        <v>36</v>
      </c>
      <c r="H7" s="84" t="s">
        <v>37</v>
      </c>
      <c r="I7" s="84" t="s">
        <v>38</v>
      </c>
      <c r="J7" s="84" t="s">
        <v>598</v>
      </c>
      <c r="K7" s="84" t="s">
        <v>391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88"/>
    </row>
    <row r="8" spans="1:24">
      <c r="A8" s="84" t="s">
        <v>253</v>
      </c>
      <c r="B8" s="84" t="s">
        <v>288</v>
      </c>
      <c r="C8" s="84" t="s">
        <v>456</v>
      </c>
      <c r="D8" s="84">
        <v>314</v>
      </c>
      <c r="E8" s="84" t="s">
        <v>523</v>
      </c>
      <c r="F8" s="84" t="s">
        <v>638</v>
      </c>
      <c r="G8" s="84" t="s">
        <v>36</v>
      </c>
      <c r="H8" s="84" t="s">
        <v>37</v>
      </c>
      <c r="I8" s="84" t="s">
        <v>38</v>
      </c>
      <c r="J8" s="84" t="s">
        <v>598</v>
      </c>
      <c r="K8" s="84" t="s">
        <v>391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8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322" t="s">
        <v>34</v>
      </c>
      <c r="F5" s="77" t="s">
        <v>639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322" t="s">
        <v>34</v>
      </c>
      <c r="F5" s="77" t="s">
        <v>640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595</v>
      </c>
      <c r="B5" s="322" t="s">
        <v>595</v>
      </c>
      <c r="C5" s="322" t="s">
        <v>412</v>
      </c>
      <c r="D5" s="47">
        <v>0</v>
      </c>
      <c r="E5" s="322" t="s">
        <v>562</v>
      </c>
      <c r="F5" s="322" t="s">
        <v>357</v>
      </c>
      <c r="G5" s="322" t="s">
        <v>36</v>
      </c>
      <c r="H5" s="322" t="s">
        <v>37</v>
      </c>
      <c r="I5" s="322" t="s">
        <v>38</v>
      </c>
      <c r="J5" s="322" t="s">
        <v>109</v>
      </c>
      <c r="K5" s="322" t="s">
        <v>110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>
      <c r="A6" s="322" t="s">
        <v>595</v>
      </c>
      <c r="B6" s="322" t="s">
        <v>305</v>
      </c>
      <c r="C6" s="322" t="s">
        <v>612</v>
      </c>
      <c r="D6" s="47">
        <v>355</v>
      </c>
      <c r="E6" s="322" t="s">
        <v>308</v>
      </c>
      <c r="F6" s="322" t="s">
        <v>357</v>
      </c>
      <c r="G6" s="322" t="s">
        <v>36</v>
      </c>
      <c r="H6" s="322" t="s">
        <v>37</v>
      </c>
      <c r="I6" s="322" t="s">
        <v>38</v>
      </c>
      <c r="J6" s="322" t="s">
        <v>109</v>
      </c>
      <c r="K6" s="322" t="s">
        <v>110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>
      <c r="A7" s="322" t="s">
        <v>253</v>
      </c>
      <c r="B7" s="322" t="s">
        <v>288</v>
      </c>
      <c r="C7" s="322" t="s">
        <v>636</v>
      </c>
      <c r="D7" s="47">
        <v>78</v>
      </c>
      <c r="E7" s="322" t="s">
        <v>98</v>
      </c>
      <c r="F7" s="322" t="s">
        <v>641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253</v>
      </c>
      <c r="B5" s="322" t="s">
        <v>288</v>
      </c>
      <c r="C5" s="322" t="s">
        <v>642</v>
      </c>
      <c r="D5" s="47">
        <v>252</v>
      </c>
      <c r="E5" s="322" t="s">
        <v>98</v>
      </c>
      <c r="F5" s="322" t="s">
        <v>643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>
      <c r="A6" s="322" t="s">
        <v>371</v>
      </c>
      <c r="B6" s="322" t="s">
        <v>371</v>
      </c>
      <c r="C6" s="322" t="s">
        <v>79</v>
      </c>
      <c r="D6" s="47">
        <v>0</v>
      </c>
      <c r="E6" s="322" t="s">
        <v>80</v>
      </c>
      <c r="F6" s="322" t="s">
        <v>644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261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>
      <c r="A7" s="322" t="s">
        <v>371</v>
      </c>
      <c r="B7" s="322" t="s">
        <v>371</v>
      </c>
      <c r="C7" s="322" t="s">
        <v>617</v>
      </c>
      <c r="D7" s="47">
        <v>57</v>
      </c>
      <c r="E7" s="322" t="s">
        <v>618</v>
      </c>
      <c r="F7" s="322" t="s">
        <v>644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261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>
      <c r="A8" s="322" t="s">
        <v>231</v>
      </c>
      <c r="B8" s="322" t="s">
        <v>366</v>
      </c>
      <c r="C8" s="322" t="s">
        <v>367</v>
      </c>
      <c r="D8" s="47">
        <v>23</v>
      </c>
      <c r="E8" s="322" t="s">
        <v>609</v>
      </c>
      <c r="F8" s="322" t="s">
        <v>644</v>
      </c>
      <c r="G8" s="322" t="s">
        <v>36</v>
      </c>
      <c r="H8" s="322" t="s">
        <v>37</v>
      </c>
      <c r="I8" s="322" t="s">
        <v>38</v>
      </c>
      <c r="J8" s="322" t="s">
        <v>37</v>
      </c>
      <c r="K8" s="322" t="s">
        <v>261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>
      <c r="A9" s="322" t="s">
        <v>231</v>
      </c>
      <c r="B9" s="322" t="s">
        <v>231</v>
      </c>
      <c r="C9" s="322" t="s">
        <v>412</v>
      </c>
      <c r="D9" s="47">
        <v>0</v>
      </c>
      <c r="E9" s="322" t="s">
        <v>562</v>
      </c>
      <c r="F9" s="322" t="s">
        <v>644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261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>
      <c r="A10" s="322" t="s">
        <v>253</v>
      </c>
      <c r="B10" s="322" t="s">
        <v>259</v>
      </c>
      <c r="C10" s="322" t="s">
        <v>613</v>
      </c>
      <c r="D10" s="47">
        <v>372</v>
      </c>
      <c r="E10" s="322" t="s">
        <v>191</v>
      </c>
      <c r="F10" s="322" t="s">
        <v>644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261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>
      <c r="A11" s="322" t="s">
        <v>231</v>
      </c>
      <c r="B11" s="322" t="s">
        <v>221</v>
      </c>
      <c r="C11" s="322" t="s">
        <v>54</v>
      </c>
      <c r="D11" s="47">
        <v>56</v>
      </c>
      <c r="E11" s="322" t="s">
        <v>610</v>
      </c>
      <c r="F11" s="322" t="s">
        <v>644</v>
      </c>
      <c r="G11" s="322" t="s">
        <v>36</v>
      </c>
      <c r="H11" s="322" t="s">
        <v>37</v>
      </c>
      <c r="I11" s="322" t="s">
        <v>38</v>
      </c>
      <c r="J11" s="322" t="s">
        <v>37</v>
      </c>
      <c r="K11" s="322" t="s">
        <v>261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>
      <c r="A12" s="322" t="s">
        <v>231</v>
      </c>
      <c r="B12" s="322" t="s">
        <v>229</v>
      </c>
      <c r="C12" s="322" t="s">
        <v>71</v>
      </c>
      <c r="D12" s="47">
        <v>303</v>
      </c>
      <c r="E12" s="322" t="s">
        <v>645</v>
      </c>
      <c r="F12" s="322" t="s">
        <v>644</v>
      </c>
      <c r="G12" s="322" t="s">
        <v>36</v>
      </c>
      <c r="H12" s="322" t="s">
        <v>37</v>
      </c>
      <c r="I12" s="322" t="s">
        <v>38</v>
      </c>
      <c r="J12" s="322" t="s">
        <v>37</v>
      </c>
      <c r="K12" s="322" t="s">
        <v>261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>
      <c r="A13" s="322" t="s">
        <v>231</v>
      </c>
      <c r="B13" s="322" t="s">
        <v>229</v>
      </c>
      <c r="C13" s="322" t="s">
        <v>586</v>
      </c>
      <c r="D13" s="47">
        <v>357</v>
      </c>
      <c r="E13" s="322" t="s">
        <v>248</v>
      </c>
      <c r="F13" s="322" t="s">
        <v>644</v>
      </c>
      <c r="G13" s="322" t="s">
        <v>36</v>
      </c>
      <c r="H13" s="322" t="s">
        <v>37</v>
      </c>
      <c r="I13" s="322" t="s">
        <v>38</v>
      </c>
      <c r="J13" s="322" t="s">
        <v>37</v>
      </c>
      <c r="K13" s="322" t="s">
        <v>261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>
      <c r="A14" s="322" t="s">
        <v>253</v>
      </c>
      <c r="B14" s="322" t="s">
        <v>212</v>
      </c>
      <c r="C14" s="322" t="s">
        <v>404</v>
      </c>
      <c r="D14" s="47">
        <v>345</v>
      </c>
      <c r="E14" s="322" t="s">
        <v>646</v>
      </c>
      <c r="F14" s="322" t="s">
        <v>644</v>
      </c>
      <c r="G14" s="322" t="s">
        <v>36</v>
      </c>
      <c r="H14" s="322" t="s">
        <v>37</v>
      </c>
      <c r="I14" s="322" t="s">
        <v>38</v>
      </c>
      <c r="J14" s="322" t="s">
        <v>37</v>
      </c>
      <c r="K14" s="322" t="s">
        <v>261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>
      <c r="A15" s="322" t="s">
        <v>231</v>
      </c>
      <c r="B15" s="322" t="s">
        <v>229</v>
      </c>
      <c r="C15" s="322" t="s">
        <v>647</v>
      </c>
      <c r="D15" s="47">
        <v>377</v>
      </c>
      <c r="E15" s="322" t="s">
        <v>648</v>
      </c>
      <c r="F15" s="322" t="s">
        <v>644</v>
      </c>
      <c r="G15" s="322" t="s">
        <v>36</v>
      </c>
      <c r="H15" s="322" t="s">
        <v>37</v>
      </c>
      <c r="I15" s="322" t="s">
        <v>38</v>
      </c>
      <c r="J15" s="322" t="s">
        <v>37</v>
      </c>
      <c r="K15" s="322" t="s">
        <v>261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>
      <c r="A16" s="322" t="s">
        <v>231</v>
      </c>
      <c r="B16" s="322" t="s">
        <v>544</v>
      </c>
      <c r="C16" s="322" t="s">
        <v>545</v>
      </c>
      <c r="D16" s="47">
        <v>353</v>
      </c>
      <c r="E16" s="322" t="s">
        <v>547</v>
      </c>
      <c r="F16" s="322" t="s">
        <v>644</v>
      </c>
      <c r="G16" s="322" t="s">
        <v>36</v>
      </c>
      <c r="H16" s="322" t="s">
        <v>37</v>
      </c>
      <c r="I16" s="322" t="s">
        <v>38</v>
      </c>
      <c r="J16" s="322" t="s">
        <v>37</v>
      </c>
      <c r="K16" s="322" t="s">
        <v>261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>
      <c r="A17" s="322" t="s">
        <v>253</v>
      </c>
      <c r="B17" s="322" t="s">
        <v>253</v>
      </c>
      <c r="C17" s="322" t="s">
        <v>320</v>
      </c>
      <c r="D17" s="47" t="s">
        <v>629</v>
      </c>
      <c r="E17" s="322" t="s">
        <v>78</v>
      </c>
      <c r="F17" s="322" t="s">
        <v>644</v>
      </c>
      <c r="G17" s="322" t="s">
        <v>36</v>
      </c>
      <c r="H17" s="322" t="s">
        <v>37</v>
      </c>
      <c r="I17" s="322" t="s">
        <v>38</v>
      </c>
      <c r="J17" s="322" t="s">
        <v>37</v>
      </c>
      <c r="K17" s="322" t="s">
        <v>261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>
      <c r="A18" s="322" t="s">
        <v>253</v>
      </c>
      <c r="B18" s="322" t="s">
        <v>212</v>
      </c>
      <c r="C18" s="322" t="s">
        <v>270</v>
      </c>
      <c r="D18" s="47" t="s">
        <v>168</v>
      </c>
      <c r="E18" s="322" t="s">
        <v>599</v>
      </c>
      <c r="F18" s="322" t="s">
        <v>644</v>
      </c>
      <c r="G18" s="322" t="s">
        <v>36</v>
      </c>
      <c r="H18" s="322" t="s">
        <v>37</v>
      </c>
      <c r="I18" s="322" t="s">
        <v>38</v>
      </c>
      <c r="J18" s="322" t="s">
        <v>37</v>
      </c>
      <c r="K18" s="322" t="s">
        <v>261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>
      <c r="A19" s="322" t="s">
        <v>253</v>
      </c>
      <c r="B19" s="322" t="s">
        <v>212</v>
      </c>
      <c r="C19" s="322" t="s">
        <v>41</v>
      </c>
      <c r="D19" s="47">
        <v>129</v>
      </c>
      <c r="E19" s="322" t="s">
        <v>649</v>
      </c>
      <c r="F19" s="322" t="s">
        <v>644</v>
      </c>
      <c r="G19" s="322" t="s">
        <v>36</v>
      </c>
      <c r="H19" s="322" t="s">
        <v>37</v>
      </c>
      <c r="I19" s="322" t="s">
        <v>38</v>
      </c>
      <c r="J19" s="322" t="s">
        <v>37</v>
      </c>
      <c r="K19" s="322" t="s">
        <v>261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>
      <c r="A20" s="322" t="s">
        <v>371</v>
      </c>
      <c r="B20" s="322" t="s">
        <v>396</v>
      </c>
      <c r="C20" s="322" t="s">
        <v>267</v>
      </c>
      <c r="D20" s="47">
        <v>296</v>
      </c>
      <c r="E20" s="322" t="s">
        <v>650</v>
      </c>
      <c r="F20" s="322" t="s">
        <v>644</v>
      </c>
      <c r="G20" s="322" t="s">
        <v>36</v>
      </c>
      <c r="H20" s="322" t="s">
        <v>37</v>
      </c>
      <c r="I20" s="322" t="s">
        <v>38</v>
      </c>
      <c r="J20" s="322" t="s">
        <v>37</v>
      </c>
      <c r="K20" s="322" t="s">
        <v>261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>
      <c r="A21" s="322" t="s">
        <v>371</v>
      </c>
      <c r="B21" s="322" t="s">
        <v>240</v>
      </c>
      <c r="C21" s="322" t="s">
        <v>140</v>
      </c>
      <c r="D21" s="47">
        <v>230</v>
      </c>
      <c r="E21" s="322" t="s">
        <v>142</v>
      </c>
      <c r="F21" s="322" t="s">
        <v>644</v>
      </c>
      <c r="G21" s="322" t="s">
        <v>36</v>
      </c>
      <c r="H21" s="322" t="s">
        <v>37</v>
      </c>
      <c r="I21" s="322" t="s">
        <v>38</v>
      </c>
      <c r="J21" s="322" t="s">
        <v>37</v>
      </c>
      <c r="K21" s="322" t="s">
        <v>261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>
      <c r="A22" s="322" t="s">
        <v>253</v>
      </c>
      <c r="B22" s="322" t="s">
        <v>259</v>
      </c>
      <c r="C22" s="322" t="s">
        <v>185</v>
      </c>
      <c r="D22" s="47" t="s">
        <v>186</v>
      </c>
      <c r="E22" s="322" t="s">
        <v>385</v>
      </c>
      <c r="F22" s="322" t="s">
        <v>644</v>
      </c>
      <c r="G22" s="322" t="s">
        <v>36</v>
      </c>
      <c r="H22" s="322" t="s">
        <v>37</v>
      </c>
      <c r="I22" s="322" t="s">
        <v>38</v>
      </c>
      <c r="J22" s="322" t="s">
        <v>37</v>
      </c>
      <c r="K22" s="322" t="s">
        <v>261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>
      <c r="A23" s="322" t="s">
        <v>253</v>
      </c>
      <c r="B23" s="322" t="s">
        <v>322</v>
      </c>
      <c r="C23" s="322" t="s">
        <v>327</v>
      </c>
      <c r="D23" s="47">
        <v>87</v>
      </c>
      <c r="E23" s="322" t="s">
        <v>651</v>
      </c>
      <c r="F23" s="322" t="s">
        <v>644</v>
      </c>
      <c r="G23" s="322" t="s">
        <v>36</v>
      </c>
      <c r="H23" s="322" t="s">
        <v>37</v>
      </c>
      <c r="I23" s="322" t="s">
        <v>38</v>
      </c>
      <c r="J23" s="322" t="s">
        <v>37</v>
      </c>
      <c r="K23" s="322" t="s">
        <v>261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>
      <c r="A24" s="322" t="s">
        <v>371</v>
      </c>
      <c r="B24" s="322" t="s">
        <v>371</v>
      </c>
      <c r="C24" s="322" t="s">
        <v>137</v>
      </c>
      <c r="D24" s="47">
        <v>202</v>
      </c>
      <c r="E24" s="322" t="s">
        <v>78</v>
      </c>
      <c r="F24" s="322" t="s">
        <v>644</v>
      </c>
      <c r="G24" s="322" t="s">
        <v>36</v>
      </c>
      <c r="H24" s="322" t="s">
        <v>37</v>
      </c>
      <c r="I24" s="322" t="s">
        <v>38</v>
      </c>
      <c r="J24" s="322" t="s">
        <v>37</v>
      </c>
      <c r="K24" s="322" t="s">
        <v>261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>
      <c r="A25" s="322" t="s">
        <v>253</v>
      </c>
      <c r="B25" s="322" t="s">
        <v>322</v>
      </c>
      <c r="C25" s="322" t="s">
        <v>323</v>
      </c>
      <c r="D25" s="47">
        <v>204</v>
      </c>
      <c r="E25" s="322" t="s">
        <v>652</v>
      </c>
      <c r="F25" s="322" t="s">
        <v>644</v>
      </c>
      <c r="G25" s="322" t="s">
        <v>36</v>
      </c>
      <c r="H25" s="322" t="s">
        <v>37</v>
      </c>
      <c r="I25" s="322" t="s">
        <v>38</v>
      </c>
      <c r="J25" s="322" t="s">
        <v>37</v>
      </c>
      <c r="K25" s="322" t="s">
        <v>261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>
      <c r="A26" s="322" t="s">
        <v>253</v>
      </c>
      <c r="B26" s="322" t="s">
        <v>259</v>
      </c>
      <c r="C26" s="322" t="s">
        <v>433</v>
      </c>
      <c r="D26" s="47">
        <v>264</v>
      </c>
      <c r="E26" s="322" t="s">
        <v>611</v>
      </c>
      <c r="F26" s="322" t="s">
        <v>644</v>
      </c>
      <c r="G26" s="322" t="s">
        <v>36</v>
      </c>
      <c r="H26" s="322" t="s">
        <v>37</v>
      </c>
      <c r="I26" s="322" t="s">
        <v>38</v>
      </c>
      <c r="J26" s="322" t="s">
        <v>37</v>
      </c>
      <c r="K26" s="322" t="s">
        <v>261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>
      <c r="A27" s="322" t="s">
        <v>231</v>
      </c>
      <c r="B27" s="322" t="s">
        <v>229</v>
      </c>
      <c r="C27" s="322" t="s">
        <v>653</v>
      </c>
      <c r="D27" s="47">
        <v>343</v>
      </c>
      <c r="E27" s="322" t="s">
        <v>645</v>
      </c>
      <c r="F27" s="322" t="s">
        <v>644</v>
      </c>
      <c r="G27" s="322" t="s">
        <v>36</v>
      </c>
      <c r="H27" s="322" t="s">
        <v>37</v>
      </c>
      <c r="I27" s="322" t="s">
        <v>38</v>
      </c>
      <c r="J27" s="322" t="s">
        <v>37</v>
      </c>
      <c r="K27" s="322" t="s">
        <v>261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>
      <c r="A28" s="322" t="s">
        <v>231</v>
      </c>
      <c r="B28" s="322" t="s">
        <v>305</v>
      </c>
      <c r="C28" s="322" t="s">
        <v>615</v>
      </c>
      <c r="D28" s="47">
        <v>366</v>
      </c>
      <c r="E28" s="322" t="s">
        <v>616</v>
      </c>
      <c r="F28" s="322" t="s">
        <v>644</v>
      </c>
      <c r="G28" s="322" t="s">
        <v>36</v>
      </c>
      <c r="H28" s="322" t="s">
        <v>37</v>
      </c>
      <c r="I28" s="322" t="s">
        <v>38</v>
      </c>
      <c r="J28" s="322" t="s">
        <v>37</v>
      </c>
      <c r="K28" s="322" t="s">
        <v>261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>
      <c r="A29" s="322" t="s">
        <v>253</v>
      </c>
      <c r="B29" s="322" t="s">
        <v>234</v>
      </c>
      <c r="C29" s="322" t="s">
        <v>620</v>
      </c>
      <c r="D29" s="47">
        <v>365</v>
      </c>
      <c r="E29" s="322" t="s">
        <v>239</v>
      </c>
      <c r="F29" s="322" t="s">
        <v>644</v>
      </c>
      <c r="G29" s="322" t="s">
        <v>36</v>
      </c>
      <c r="H29" s="322" t="s">
        <v>37</v>
      </c>
      <c r="I29" s="322" t="s">
        <v>38</v>
      </c>
      <c r="J29" s="322" t="s">
        <v>37</v>
      </c>
      <c r="K29" s="322" t="s">
        <v>261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253</v>
      </c>
      <c r="B5" s="322" t="s">
        <v>253</v>
      </c>
      <c r="C5" s="322" t="s">
        <v>320</v>
      </c>
      <c r="D5" s="47" t="s">
        <v>629</v>
      </c>
      <c r="E5" s="322" t="s">
        <v>78</v>
      </c>
      <c r="F5" s="322" t="s">
        <v>654</v>
      </c>
      <c r="G5" s="322" t="s">
        <v>36</v>
      </c>
      <c r="H5" s="322" t="s">
        <v>37</v>
      </c>
      <c r="I5" s="322" t="s">
        <v>38</v>
      </c>
      <c r="J5" s="322" t="s">
        <v>127</v>
      </c>
      <c r="K5" s="322" t="s">
        <v>63</v>
      </c>
      <c r="L5" s="69">
        <v>44692</v>
      </c>
      <c r="M5" s="69">
        <v>44692</v>
      </c>
      <c r="N5" s="89">
        <v>1254.69</v>
      </c>
      <c r="O5" s="89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>
      <c r="A6" s="322" t="s">
        <v>595</v>
      </c>
      <c r="B6" s="322" t="s">
        <v>305</v>
      </c>
      <c r="C6" s="322" t="s">
        <v>612</v>
      </c>
      <c r="D6" s="47">
        <v>355</v>
      </c>
      <c r="E6" s="322" t="s">
        <v>308</v>
      </c>
      <c r="F6" s="323" t="s">
        <v>655</v>
      </c>
      <c r="G6" s="322" t="s">
        <v>36</v>
      </c>
      <c r="H6" s="322" t="s">
        <v>37</v>
      </c>
      <c r="I6" s="322" t="s">
        <v>38</v>
      </c>
      <c r="J6" s="322" t="s">
        <v>127</v>
      </c>
      <c r="K6" s="322" t="s">
        <v>63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>
      <c r="A7" s="322" t="s">
        <v>253</v>
      </c>
      <c r="B7" s="322" t="s">
        <v>212</v>
      </c>
      <c r="C7" s="322" t="s">
        <v>270</v>
      </c>
      <c r="D7" s="47" t="s">
        <v>168</v>
      </c>
      <c r="E7" s="322" t="s">
        <v>599</v>
      </c>
      <c r="F7" s="322" t="s">
        <v>656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>
      <c r="A8" s="322" t="s">
        <v>231</v>
      </c>
      <c r="B8" s="322" t="s">
        <v>221</v>
      </c>
      <c r="C8" s="322" t="s">
        <v>54</v>
      </c>
      <c r="D8" s="47">
        <v>56</v>
      </c>
      <c r="E8" s="322" t="s">
        <v>610</v>
      </c>
      <c r="F8" s="322" t="s">
        <v>657</v>
      </c>
      <c r="G8" s="322" t="s">
        <v>36</v>
      </c>
      <c r="H8" s="322" t="s">
        <v>37</v>
      </c>
      <c r="I8" s="322" t="s">
        <v>38</v>
      </c>
      <c r="J8" s="322" t="s">
        <v>127</v>
      </c>
      <c r="K8" s="322" t="s">
        <v>63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>
      <c r="A9" s="322" t="s">
        <v>253</v>
      </c>
      <c r="B9" s="322" t="s">
        <v>322</v>
      </c>
      <c r="C9" s="322" t="s">
        <v>327</v>
      </c>
      <c r="D9" s="47">
        <v>87</v>
      </c>
      <c r="E9" s="322" t="s">
        <v>651</v>
      </c>
      <c r="F9" s="322" t="s">
        <v>654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261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>
      <c r="A10" s="322" t="s">
        <v>231</v>
      </c>
      <c r="B10" s="322" t="s">
        <v>231</v>
      </c>
      <c r="C10" s="322" t="s">
        <v>412</v>
      </c>
      <c r="D10" s="47">
        <v>0</v>
      </c>
      <c r="E10" s="322" t="s">
        <v>562</v>
      </c>
      <c r="F10" s="323" t="s">
        <v>655</v>
      </c>
      <c r="G10" s="322" t="s">
        <v>36</v>
      </c>
      <c r="H10" s="322" t="s">
        <v>37</v>
      </c>
      <c r="I10" s="322" t="s">
        <v>38</v>
      </c>
      <c r="J10" s="322" t="s">
        <v>127</v>
      </c>
      <c r="K10" s="322" t="s">
        <v>63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>
      <c r="A11" s="322" t="s">
        <v>231</v>
      </c>
      <c r="B11" s="322" t="s">
        <v>658</v>
      </c>
      <c r="C11" s="322" t="s">
        <v>451</v>
      </c>
      <c r="D11" s="47">
        <v>0</v>
      </c>
      <c r="E11" s="322"/>
      <c r="F11" s="323" t="s">
        <v>655</v>
      </c>
      <c r="G11" s="322" t="s">
        <v>36</v>
      </c>
      <c r="H11" s="322" t="s">
        <v>37</v>
      </c>
      <c r="I11" s="322" t="s">
        <v>38</v>
      </c>
      <c r="J11" s="322" t="s">
        <v>127</v>
      </c>
      <c r="K11" s="322" t="s">
        <v>63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ht="15">
      <c r="A5" s="322" t="s">
        <v>253</v>
      </c>
      <c r="B5" s="322" t="s">
        <v>322</v>
      </c>
      <c r="C5" s="322" t="s">
        <v>327</v>
      </c>
      <c r="D5" s="47">
        <v>87</v>
      </c>
      <c r="E5" s="322" t="s">
        <v>651</v>
      </c>
      <c r="F5" s="322" t="s">
        <v>659</v>
      </c>
      <c r="G5" s="322" t="s">
        <v>36</v>
      </c>
      <c r="H5" s="322" t="s">
        <v>37</v>
      </c>
      <c r="I5" s="322" t="s">
        <v>38</v>
      </c>
      <c r="J5" s="322" t="s">
        <v>127</v>
      </c>
      <c r="K5" s="322" t="s">
        <v>63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>
      <c r="A6" s="322" t="s">
        <v>253</v>
      </c>
      <c r="B6" s="322" t="s">
        <v>253</v>
      </c>
      <c r="C6" s="322" t="s">
        <v>320</v>
      </c>
      <c r="D6" s="47" t="s">
        <v>629</v>
      </c>
      <c r="E6" s="322" t="s">
        <v>78</v>
      </c>
      <c r="F6" s="323" t="s">
        <v>660</v>
      </c>
      <c r="G6" s="322" t="s">
        <v>36</v>
      </c>
      <c r="H6" s="322" t="s">
        <v>37</v>
      </c>
      <c r="I6" s="322" t="s">
        <v>38</v>
      </c>
      <c r="J6" s="322" t="s">
        <v>661</v>
      </c>
      <c r="K6" s="322" t="s">
        <v>662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231</v>
      </c>
      <c r="B5" s="322" t="s">
        <v>221</v>
      </c>
      <c r="C5" s="322" t="s">
        <v>277</v>
      </c>
      <c r="D5" s="77">
        <v>157</v>
      </c>
      <c r="E5" s="77" t="s">
        <v>663</v>
      </c>
      <c r="F5" s="77" t="s">
        <v>664</v>
      </c>
      <c r="G5" s="322" t="s">
        <v>36</v>
      </c>
      <c r="H5" s="322" t="s">
        <v>37</v>
      </c>
      <c r="I5" s="322" t="s">
        <v>38</v>
      </c>
      <c r="J5" s="322" t="s">
        <v>373</v>
      </c>
      <c r="K5" s="322" t="s">
        <v>374</v>
      </c>
      <c r="L5" s="90">
        <v>44770</v>
      </c>
      <c r="M5" s="90">
        <v>44771</v>
      </c>
      <c r="N5" s="77">
        <f>1417.14/2</f>
        <v>708.57</v>
      </c>
      <c r="O5" s="77">
        <f>1417.14/2</f>
        <v>708.57</v>
      </c>
      <c r="P5" s="70">
        <f>SUM(N5:O5)</f>
        <v>1417.14</v>
      </c>
      <c r="Q5" s="77">
        <v>4</v>
      </c>
      <c r="R5" s="91">
        <v>120</v>
      </c>
      <c r="S5" s="77">
        <v>0</v>
      </c>
      <c r="T5" s="91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595</v>
      </c>
      <c r="B5" s="322" t="s">
        <v>305</v>
      </c>
      <c r="C5" s="322" t="s">
        <v>612</v>
      </c>
      <c r="D5" s="47">
        <v>355</v>
      </c>
      <c r="E5" s="322" t="s">
        <v>308</v>
      </c>
      <c r="F5" s="77" t="s">
        <v>665</v>
      </c>
      <c r="G5" s="322" t="s">
        <v>36</v>
      </c>
      <c r="H5" s="322" t="s">
        <v>37</v>
      </c>
      <c r="I5" s="322" t="s">
        <v>38</v>
      </c>
      <c r="J5" s="322" t="s">
        <v>116</v>
      </c>
      <c r="K5" s="322" t="s">
        <v>117</v>
      </c>
      <c r="L5" s="90">
        <v>44783</v>
      </c>
      <c r="M5" s="90">
        <v>44786</v>
      </c>
      <c r="N5" s="77">
        <f>938.66/2</f>
        <v>469.33</v>
      </c>
      <c r="O5" s="77">
        <f>938.66/2</f>
        <v>469.33</v>
      </c>
      <c r="P5" s="70">
        <f>SUM(N5:O5)</f>
        <v>938.66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7"/>
    </row>
    <row r="6" spans="1:24" s="92" customFormat="1" ht="15">
      <c r="A6" s="322" t="s">
        <v>595</v>
      </c>
      <c r="B6" s="322" t="s">
        <v>595</v>
      </c>
      <c r="C6" s="322" t="s">
        <v>412</v>
      </c>
      <c r="D6" s="47">
        <v>0</v>
      </c>
      <c r="E6" s="322" t="s">
        <v>562</v>
      </c>
      <c r="F6" s="77" t="s">
        <v>665</v>
      </c>
      <c r="G6" s="322" t="s">
        <v>36</v>
      </c>
      <c r="H6" s="322" t="s">
        <v>37</v>
      </c>
      <c r="I6" s="322" t="s">
        <v>38</v>
      </c>
      <c r="J6" s="322" t="s">
        <v>116</v>
      </c>
      <c r="K6" s="322" t="s">
        <v>117</v>
      </c>
      <c r="L6" s="90">
        <v>44783</v>
      </c>
      <c r="M6" s="90">
        <v>44786</v>
      </c>
      <c r="N6" s="77">
        <f>938.66/2</f>
        <v>469.33</v>
      </c>
      <c r="O6" s="77">
        <f>938.66/2</f>
        <v>469.33</v>
      </c>
      <c r="P6" s="70">
        <f t="shared" ref="P6:P11" si="0">SUM(N6:O6)</f>
        <v>938.66</v>
      </c>
      <c r="Q6" s="77">
        <v>0</v>
      </c>
      <c r="R6" s="91">
        <v>0</v>
      </c>
      <c r="S6" s="77">
        <v>0</v>
      </c>
      <c r="T6" s="91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7"/>
    </row>
    <row r="7" spans="1:24" s="92" customFormat="1" ht="15">
      <c r="A7" s="322" t="s">
        <v>371</v>
      </c>
      <c r="B7" s="322" t="s">
        <v>240</v>
      </c>
      <c r="C7" s="322" t="s">
        <v>140</v>
      </c>
      <c r="D7" s="47">
        <v>230</v>
      </c>
      <c r="E7" s="322" t="s">
        <v>142</v>
      </c>
      <c r="F7" s="77" t="s">
        <v>666</v>
      </c>
      <c r="G7" s="322" t="s">
        <v>36</v>
      </c>
      <c r="H7" s="322" t="s">
        <v>37</v>
      </c>
      <c r="I7" s="322" t="s">
        <v>38</v>
      </c>
      <c r="J7" s="322" t="s">
        <v>39</v>
      </c>
      <c r="K7" s="322" t="s">
        <v>40</v>
      </c>
      <c r="L7" s="90">
        <v>44780</v>
      </c>
      <c r="M7" s="90">
        <v>44782</v>
      </c>
      <c r="N7" s="77">
        <f>1453.97/2</f>
        <v>726.98500000000001</v>
      </c>
      <c r="O7" s="77">
        <f>1453.97/2</f>
        <v>726.98500000000001</v>
      </c>
      <c r="P7" s="70">
        <f t="shared" si="0"/>
        <v>1453.97</v>
      </c>
      <c r="Q7" s="77">
        <v>7</v>
      </c>
      <c r="R7" s="91">
        <v>120</v>
      </c>
      <c r="S7" s="77">
        <v>0</v>
      </c>
      <c r="T7" s="91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7"/>
    </row>
    <row r="8" spans="1:24" s="92" customFormat="1" ht="28.5">
      <c r="A8" s="322" t="s">
        <v>253</v>
      </c>
      <c r="B8" s="322" t="s">
        <v>288</v>
      </c>
      <c r="C8" s="322" t="s">
        <v>345</v>
      </c>
      <c r="D8" s="47">
        <v>74</v>
      </c>
      <c r="E8" s="322" t="s">
        <v>535</v>
      </c>
      <c r="F8" s="93" t="s">
        <v>667</v>
      </c>
      <c r="G8" s="322" t="s">
        <v>36</v>
      </c>
      <c r="H8" s="322" t="s">
        <v>37</v>
      </c>
      <c r="I8" s="322" t="s">
        <v>38</v>
      </c>
      <c r="J8" s="322" t="s">
        <v>37</v>
      </c>
      <c r="K8" s="322" t="s">
        <v>391</v>
      </c>
      <c r="L8" s="90">
        <v>44778</v>
      </c>
      <c r="M8" s="90">
        <v>44796</v>
      </c>
      <c r="N8" s="77">
        <f>1468.46/2</f>
        <v>734.23</v>
      </c>
      <c r="O8" s="77">
        <f>1468.46/2</f>
        <v>734.23</v>
      </c>
      <c r="P8" s="70">
        <f t="shared" si="0"/>
        <v>1468.46</v>
      </c>
      <c r="Q8" s="77">
        <v>19</v>
      </c>
      <c r="R8" s="91">
        <v>120</v>
      </c>
      <c r="S8" s="77">
        <v>0</v>
      </c>
      <c r="T8" s="91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7"/>
    </row>
    <row r="9" spans="1:24" s="92" customFormat="1" ht="15">
      <c r="A9" s="322" t="s">
        <v>253</v>
      </c>
      <c r="B9" s="322" t="s">
        <v>253</v>
      </c>
      <c r="C9" s="322" t="s">
        <v>387</v>
      </c>
      <c r="D9" s="47">
        <v>0</v>
      </c>
      <c r="E9" s="322" t="s">
        <v>78</v>
      </c>
      <c r="F9" s="77" t="s">
        <v>665</v>
      </c>
      <c r="G9" s="322" t="s">
        <v>36</v>
      </c>
      <c r="H9" s="322" t="s">
        <v>37</v>
      </c>
      <c r="I9" s="322" t="s">
        <v>38</v>
      </c>
      <c r="J9" s="322" t="s">
        <v>116</v>
      </c>
      <c r="K9" s="322" t="s">
        <v>117</v>
      </c>
      <c r="L9" s="90">
        <v>44783</v>
      </c>
      <c r="M9" s="90">
        <v>44785</v>
      </c>
      <c r="N9" s="77">
        <f>1281.31/2</f>
        <v>640.65499999999997</v>
      </c>
      <c r="O9" s="77">
        <f>1281.31/2</f>
        <v>640.65499999999997</v>
      </c>
      <c r="P9" s="70">
        <f t="shared" si="0"/>
        <v>1281.31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7"/>
    </row>
    <row r="10" spans="1:24" s="92" customFormat="1" ht="15">
      <c r="A10" s="322" t="s">
        <v>595</v>
      </c>
      <c r="B10" s="322" t="s">
        <v>221</v>
      </c>
      <c r="C10" s="322" t="s">
        <v>54</v>
      </c>
      <c r="D10" s="47">
        <v>56</v>
      </c>
      <c r="E10" s="322" t="s">
        <v>610</v>
      </c>
      <c r="F10" s="77" t="s">
        <v>665</v>
      </c>
      <c r="G10" s="322" t="s">
        <v>36</v>
      </c>
      <c r="H10" s="322" t="s">
        <v>37</v>
      </c>
      <c r="I10" s="322" t="s">
        <v>38</v>
      </c>
      <c r="J10" s="322" t="s">
        <v>116</v>
      </c>
      <c r="K10" s="322" t="s">
        <v>117</v>
      </c>
      <c r="L10" s="90">
        <v>44783</v>
      </c>
      <c r="M10" s="90">
        <v>44785</v>
      </c>
      <c r="N10" s="77">
        <f>1494.92/2</f>
        <v>747.46</v>
      </c>
      <c r="O10" s="77">
        <f>1494.92/2</f>
        <v>747.46</v>
      </c>
      <c r="P10" s="70">
        <f t="shared" si="0"/>
        <v>1494.92</v>
      </c>
      <c r="Q10" s="77">
        <v>3</v>
      </c>
      <c r="R10" s="91">
        <v>120</v>
      </c>
      <c r="S10" s="77"/>
      <c r="T10" s="91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7"/>
    </row>
    <row r="11" spans="1:24" s="92" customFormat="1" ht="15">
      <c r="A11" s="322" t="s">
        <v>595</v>
      </c>
      <c r="B11" s="322" t="s">
        <v>462</v>
      </c>
      <c r="C11" s="322" t="s">
        <v>401</v>
      </c>
      <c r="D11" s="47">
        <v>349</v>
      </c>
      <c r="E11" s="322" t="s">
        <v>403</v>
      </c>
      <c r="F11" s="77" t="s">
        <v>668</v>
      </c>
      <c r="G11" s="322" t="s">
        <v>36</v>
      </c>
      <c r="H11" s="322" t="s">
        <v>37</v>
      </c>
      <c r="I11" s="322" t="s">
        <v>38</v>
      </c>
      <c r="J11" s="322" t="s">
        <v>199</v>
      </c>
      <c r="K11" s="322" t="s">
        <v>669</v>
      </c>
      <c r="L11" s="90">
        <v>44794</v>
      </c>
      <c r="M11" s="90">
        <v>44798</v>
      </c>
      <c r="N11" s="77">
        <f>4132.8/2</f>
        <v>2066.4</v>
      </c>
      <c r="O11" s="77">
        <f>4132.8/2</f>
        <v>2066.4</v>
      </c>
      <c r="P11" s="70">
        <f t="shared" si="0"/>
        <v>4132.8</v>
      </c>
      <c r="Q11" s="77">
        <v>5</v>
      </c>
      <c r="R11" s="91">
        <v>120</v>
      </c>
      <c r="S11" s="77">
        <v>0</v>
      </c>
      <c r="T11" s="91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7"/>
    </row>
    <row r="12" spans="1:24" s="92" customFormat="1" ht="15">
      <c r="A12" s="322" t="s">
        <v>371</v>
      </c>
      <c r="B12" s="322" t="s">
        <v>371</v>
      </c>
      <c r="C12" s="322" t="s">
        <v>79</v>
      </c>
      <c r="D12" s="47">
        <v>0</v>
      </c>
      <c r="E12" s="322" t="s">
        <v>80</v>
      </c>
      <c r="F12" s="77" t="s">
        <v>666</v>
      </c>
      <c r="G12" s="322" t="s">
        <v>36</v>
      </c>
      <c r="H12" s="322" t="s">
        <v>116</v>
      </c>
      <c r="I12" s="322" t="s">
        <v>117</v>
      </c>
      <c r="J12" s="322" t="s">
        <v>39</v>
      </c>
      <c r="K12" s="322" t="s">
        <v>40</v>
      </c>
      <c r="L12" s="90">
        <v>44781</v>
      </c>
      <c r="M12" s="90">
        <v>44782</v>
      </c>
      <c r="N12" s="77">
        <f>(1670.82+834.23)/2</f>
        <v>1252.5250000000001</v>
      </c>
      <c r="O12" s="77">
        <f>(1670.82+834.23)/2</f>
        <v>1252.5250000000001</v>
      </c>
      <c r="P12" s="70">
        <f>SUM(N12:O12)</f>
        <v>2505.0500000000002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43009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38.25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371</v>
      </c>
      <c r="B5" s="322" t="s">
        <v>396</v>
      </c>
      <c r="C5" s="322" t="s">
        <v>267</v>
      </c>
      <c r="D5" s="47">
        <v>284</v>
      </c>
      <c r="E5" s="322" t="s">
        <v>670</v>
      </c>
      <c r="F5" s="77" t="s">
        <v>671</v>
      </c>
      <c r="G5" s="322" t="s">
        <v>36</v>
      </c>
      <c r="H5" s="322" t="s">
        <v>37</v>
      </c>
      <c r="I5" s="322" t="s">
        <v>38</v>
      </c>
      <c r="J5" s="322" t="s">
        <v>661</v>
      </c>
      <c r="K5" s="322" t="s">
        <v>662</v>
      </c>
      <c r="L5" s="90">
        <v>44823</v>
      </c>
      <c r="M5" s="90">
        <v>44827</v>
      </c>
      <c r="N5" s="91">
        <f>1212.43/2</f>
        <v>606.21500000000003</v>
      </c>
      <c r="O5" s="91">
        <f>1212.43/2</f>
        <v>606.21500000000003</v>
      </c>
      <c r="P5" s="70">
        <f>SUM(N5:O5)</f>
        <v>1212.43</v>
      </c>
      <c r="Q5" s="77">
        <v>5</v>
      </c>
      <c r="R5" s="91">
        <v>120</v>
      </c>
      <c r="S5" s="77">
        <v>0</v>
      </c>
      <c r="T5" s="91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7"/>
    </row>
    <row r="6" spans="1:24" s="92" customFormat="1" ht="15">
      <c r="A6" s="322" t="s">
        <v>253</v>
      </c>
      <c r="B6" s="322" t="s">
        <v>288</v>
      </c>
      <c r="C6" s="322" t="s">
        <v>173</v>
      </c>
      <c r="D6" s="47">
        <v>127</v>
      </c>
      <c r="E6" s="322" t="s">
        <v>672</v>
      </c>
      <c r="F6" s="77" t="s">
        <v>671</v>
      </c>
      <c r="G6" s="322" t="s">
        <v>36</v>
      </c>
      <c r="H6" s="322" t="s">
        <v>37</v>
      </c>
      <c r="I6" s="322" t="s">
        <v>38</v>
      </c>
      <c r="J6" s="322" t="s">
        <v>661</v>
      </c>
      <c r="K6" s="322" t="s">
        <v>662</v>
      </c>
      <c r="L6" s="90">
        <v>44823</v>
      </c>
      <c r="M6" s="90">
        <v>44827</v>
      </c>
      <c r="N6" s="91">
        <f>1212.43/2</f>
        <v>606.21500000000003</v>
      </c>
      <c r="O6" s="91">
        <f>1212.43/2</f>
        <v>606.21500000000003</v>
      </c>
      <c r="P6" s="70">
        <f t="shared" ref="P6:P8" si="0">SUM(N6:O6)</f>
        <v>1212.43</v>
      </c>
      <c r="Q6" s="77">
        <v>5</v>
      </c>
      <c r="R6" s="91">
        <v>120</v>
      </c>
      <c r="S6" s="77">
        <v>0</v>
      </c>
      <c r="T6" s="91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7"/>
    </row>
    <row r="7" spans="1:24" s="92" customFormat="1" ht="15">
      <c r="A7" s="322" t="s">
        <v>253</v>
      </c>
      <c r="B7" s="322" t="s">
        <v>259</v>
      </c>
      <c r="C7" s="322" t="s">
        <v>613</v>
      </c>
      <c r="D7" s="47">
        <v>372</v>
      </c>
      <c r="E7" s="322" t="s">
        <v>673</v>
      </c>
      <c r="F7" s="77" t="s">
        <v>674</v>
      </c>
      <c r="G7" s="322" t="s">
        <v>36</v>
      </c>
      <c r="H7" s="322" t="s">
        <v>37</v>
      </c>
      <c r="I7" s="322" t="s">
        <v>38</v>
      </c>
      <c r="J7" s="322" t="s">
        <v>39</v>
      </c>
      <c r="K7" s="322" t="s">
        <v>40</v>
      </c>
      <c r="L7" s="90">
        <v>44825</v>
      </c>
      <c r="M7" s="90">
        <v>44826</v>
      </c>
      <c r="N7" s="91">
        <v>1453.97</v>
      </c>
      <c r="O7" s="91">
        <v>2364.62</v>
      </c>
      <c r="P7" s="70">
        <f t="shared" si="0"/>
        <v>3818.59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7"/>
    </row>
    <row r="8" spans="1:24" s="92" customFormat="1" ht="15">
      <c r="A8" s="322" t="s">
        <v>253</v>
      </c>
      <c r="B8" s="322" t="s">
        <v>253</v>
      </c>
      <c r="C8" s="322" t="s">
        <v>675</v>
      </c>
      <c r="D8" s="47">
        <v>383</v>
      </c>
      <c r="E8" s="322" t="s">
        <v>676</v>
      </c>
      <c r="F8" s="93" t="s">
        <v>677</v>
      </c>
      <c r="G8" s="322" t="s">
        <v>36</v>
      </c>
      <c r="H8" s="322" t="s">
        <v>37</v>
      </c>
      <c r="I8" s="322" t="s">
        <v>38</v>
      </c>
      <c r="J8" s="322" t="s">
        <v>39</v>
      </c>
      <c r="K8" s="322" t="s">
        <v>40</v>
      </c>
      <c r="L8" s="90">
        <v>44832</v>
      </c>
      <c r="M8" s="90">
        <v>44833</v>
      </c>
      <c r="N8" s="91">
        <f>2113.03/2</f>
        <v>1056.5150000000001</v>
      </c>
      <c r="O8" s="91">
        <f>2113.03/2</f>
        <v>1056.5150000000001</v>
      </c>
      <c r="P8" s="70">
        <f t="shared" si="0"/>
        <v>2113.0300000000002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253</v>
      </c>
      <c r="B5" s="322" t="s">
        <v>253</v>
      </c>
      <c r="C5" s="322" t="s">
        <v>675</v>
      </c>
      <c r="D5" s="47">
        <v>383</v>
      </c>
      <c r="E5" s="322" t="s">
        <v>676</v>
      </c>
      <c r="F5" s="77" t="s">
        <v>678</v>
      </c>
      <c r="G5" s="322" t="s">
        <v>36</v>
      </c>
      <c r="H5" s="322" t="s">
        <v>37</v>
      </c>
      <c r="I5" s="322" t="s">
        <v>38</v>
      </c>
      <c r="J5" s="322" t="s">
        <v>109</v>
      </c>
      <c r="K5" s="322" t="s">
        <v>110</v>
      </c>
      <c r="L5" s="90">
        <v>44853</v>
      </c>
      <c r="M5" s="90">
        <v>44854</v>
      </c>
      <c r="N5" s="91">
        <f>1104.62/2</f>
        <v>552.30999999999995</v>
      </c>
      <c r="O5" s="91">
        <f>1104.62/2</f>
        <v>552.30999999999995</v>
      </c>
      <c r="P5" s="70">
        <f>SUM(N5:O5)</f>
        <v>1104.6199999999999</v>
      </c>
      <c r="Q5" s="77">
        <v>2</v>
      </c>
      <c r="R5" s="91">
        <v>120</v>
      </c>
      <c r="S5" s="77">
        <v>0</v>
      </c>
      <c r="T5" s="91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7"/>
    </row>
    <row r="6" spans="1:24" s="92" customFormat="1" ht="15">
      <c r="A6" s="322" t="s">
        <v>253</v>
      </c>
      <c r="B6" s="322" t="s">
        <v>322</v>
      </c>
      <c r="C6" s="322" t="s">
        <v>327</v>
      </c>
      <c r="D6" s="47">
        <v>87</v>
      </c>
      <c r="E6" s="322" t="s">
        <v>651</v>
      </c>
      <c r="F6" s="77" t="s">
        <v>678</v>
      </c>
      <c r="G6" s="322" t="s">
        <v>36</v>
      </c>
      <c r="H6" s="322" t="s">
        <v>37</v>
      </c>
      <c r="I6" s="322" t="s">
        <v>38</v>
      </c>
      <c r="J6" s="322" t="s">
        <v>109</v>
      </c>
      <c r="K6" s="322" t="s">
        <v>110</v>
      </c>
      <c r="L6" s="90">
        <v>44853</v>
      </c>
      <c r="M6" s="90">
        <v>44854</v>
      </c>
      <c r="N6" s="91">
        <f>1104.62/2</f>
        <v>552.30999999999995</v>
      </c>
      <c r="O6" s="91">
        <f t="shared" ref="O6:O7" si="0">1104.62/2</f>
        <v>552.30999999999995</v>
      </c>
      <c r="P6" s="70">
        <f t="shared" ref="P6:P7" si="1">SUM(N6:O6)</f>
        <v>1104.6199999999999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7"/>
    </row>
    <row r="7" spans="1:24" s="92" customFormat="1" ht="15">
      <c r="A7" s="322" t="s">
        <v>253</v>
      </c>
      <c r="B7" s="322" t="s">
        <v>288</v>
      </c>
      <c r="C7" s="322" t="s">
        <v>237</v>
      </c>
      <c r="D7" s="47">
        <v>82</v>
      </c>
      <c r="E7" s="322" t="s">
        <v>679</v>
      </c>
      <c r="F7" s="77" t="s">
        <v>678</v>
      </c>
      <c r="G7" s="322" t="s">
        <v>36</v>
      </c>
      <c r="H7" s="322" t="s">
        <v>37</v>
      </c>
      <c r="I7" s="322" t="s">
        <v>38</v>
      </c>
      <c r="J7" s="322" t="s">
        <v>109</v>
      </c>
      <c r="K7" s="322" t="s">
        <v>110</v>
      </c>
      <c r="L7" s="90">
        <v>44853</v>
      </c>
      <c r="M7" s="90">
        <v>44854</v>
      </c>
      <c r="N7" s="91">
        <f>1104.62/2</f>
        <v>552.30999999999995</v>
      </c>
      <c r="O7" s="91">
        <f t="shared" si="0"/>
        <v>552.30999999999995</v>
      </c>
      <c r="P7" s="70">
        <f t="shared" si="1"/>
        <v>1104.6199999999999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231</v>
      </c>
      <c r="B5" s="322" t="s">
        <v>305</v>
      </c>
      <c r="C5" s="322" t="s">
        <v>612</v>
      </c>
      <c r="D5" s="47">
        <v>355</v>
      </c>
      <c r="E5" s="322" t="s">
        <v>308</v>
      </c>
      <c r="F5" s="322" t="s">
        <v>680</v>
      </c>
      <c r="G5" s="322" t="s">
        <v>36</v>
      </c>
      <c r="H5" s="322" t="s">
        <v>37</v>
      </c>
      <c r="I5" s="322" t="s">
        <v>38</v>
      </c>
      <c r="J5" s="322" t="s">
        <v>39</v>
      </c>
      <c r="K5" s="322" t="s">
        <v>40</v>
      </c>
      <c r="L5" s="90">
        <v>44881</v>
      </c>
      <c r="M5" s="90">
        <v>44884</v>
      </c>
      <c r="N5" s="91">
        <v>2113.0300000000002</v>
      </c>
      <c r="O5" s="91">
        <v>2364.62</v>
      </c>
      <c r="P5" s="91">
        <f>SUM(N5:O5)</f>
        <v>4477.6499999999996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7"/>
    </row>
    <row r="6" spans="1:24" s="92" customFormat="1" ht="15">
      <c r="A6" s="322" t="s">
        <v>231</v>
      </c>
      <c r="B6" s="322" t="s">
        <v>221</v>
      </c>
      <c r="C6" s="322" t="s">
        <v>54</v>
      </c>
      <c r="D6" s="47">
        <v>56</v>
      </c>
      <c r="E6" s="322" t="s">
        <v>610</v>
      </c>
      <c r="F6" s="322" t="s">
        <v>681</v>
      </c>
      <c r="G6" s="322" t="s">
        <v>36</v>
      </c>
      <c r="H6" s="322" t="s">
        <v>37</v>
      </c>
      <c r="I6" s="322" t="s">
        <v>38</v>
      </c>
      <c r="J6" s="322" t="s">
        <v>424</v>
      </c>
      <c r="K6" s="322" t="s">
        <v>427</v>
      </c>
      <c r="L6" s="90">
        <v>44872</v>
      </c>
      <c r="M6" s="90">
        <v>44875</v>
      </c>
      <c r="N6" s="91">
        <f>1908.15/2</f>
        <v>954.07500000000005</v>
      </c>
      <c r="O6" s="91">
        <f>1908.15/2</f>
        <v>954.07500000000005</v>
      </c>
      <c r="P6" s="91">
        <f t="shared" ref="P6:P11" si="0">SUM(N6:O6)</f>
        <v>1908.15</v>
      </c>
      <c r="Q6" s="77">
        <v>10</v>
      </c>
      <c r="R6" s="91">
        <v>120</v>
      </c>
      <c r="S6" s="77">
        <v>0</v>
      </c>
      <c r="T6" s="91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7"/>
    </row>
    <row r="7" spans="1:24" s="92" customFormat="1" ht="15">
      <c r="A7" s="322" t="s">
        <v>231</v>
      </c>
      <c r="B7" s="322" t="s">
        <v>231</v>
      </c>
      <c r="C7" s="322" t="s">
        <v>412</v>
      </c>
      <c r="D7" s="47">
        <v>0</v>
      </c>
      <c r="E7" s="322" t="s">
        <v>562</v>
      </c>
      <c r="F7" s="322" t="s">
        <v>680</v>
      </c>
      <c r="G7" s="322" t="s">
        <v>36</v>
      </c>
      <c r="H7" s="322" t="s">
        <v>37</v>
      </c>
      <c r="I7" s="322" t="s">
        <v>38</v>
      </c>
      <c r="J7" s="322" t="s">
        <v>39</v>
      </c>
      <c r="K7" s="322" t="s">
        <v>40</v>
      </c>
      <c r="L7" s="90">
        <v>44881</v>
      </c>
      <c r="M7" s="90">
        <v>44884</v>
      </c>
      <c r="N7" s="91">
        <v>2113.0300000000002</v>
      </c>
      <c r="O7" s="91">
        <v>2364.62</v>
      </c>
      <c r="P7" s="91">
        <f t="shared" si="0"/>
        <v>4477.6499999999996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7"/>
    </row>
    <row r="8" spans="1:24" s="92" customFormat="1" ht="15">
      <c r="A8" s="322" t="s">
        <v>253</v>
      </c>
      <c r="B8" s="322" t="s">
        <v>212</v>
      </c>
      <c r="C8" s="322" t="s">
        <v>404</v>
      </c>
      <c r="D8" s="47">
        <v>345</v>
      </c>
      <c r="E8" s="322" t="s">
        <v>646</v>
      </c>
      <c r="F8" s="322" t="s">
        <v>682</v>
      </c>
      <c r="G8" s="322" t="s">
        <v>36</v>
      </c>
      <c r="H8" s="322" t="s">
        <v>37</v>
      </c>
      <c r="I8" s="322" t="s">
        <v>38</v>
      </c>
      <c r="J8" s="322" t="s">
        <v>39</v>
      </c>
      <c r="K8" s="322" t="s">
        <v>40</v>
      </c>
      <c r="L8" s="90">
        <v>44873</v>
      </c>
      <c r="M8" s="90">
        <v>44873</v>
      </c>
      <c r="N8" s="91">
        <f>2930.51/2</f>
        <v>1465.2550000000001</v>
      </c>
      <c r="O8" s="91">
        <f>2930.51/2</f>
        <v>1465.2550000000001</v>
      </c>
      <c r="P8" s="91">
        <f t="shared" si="0"/>
        <v>2930.51</v>
      </c>
      <c r="Q8" s="77">
        <v>1</v>
      </c>
      <c r="R8" s="91">
        <v>120</v>
      </c>
      <c r="S8" s="77">
        <v>0</v>
      </c>
      <c r="T8" s="91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7"/>
    </row>
    <row r="9" spans="1:24" s="92" customFormat="1" ht="15">
      <c r="A9" s="322" t="s">
        <v>371</v>
      </c>
      <c r="B9" s="322" t="s">
        <v>240</v>
      </c>
      <c r="C9" s="322" t="s">
        <v>140</v>
      </c>
      <c r="D9" s="47">
        <v>230</v>
      </c>
      <c r="E9" s="322" t="s">
        <v>142</v>
      </c>
      <c r="F9" s="322" t="s">
        <v>682</v>
      </c>
      <c r="G9" s="322" t="s">
        <v>36</v>
      </c>
      <c r="H9" s="322" t="s">
        <v>37</v>
      </c>
      <c r="I9" s="322" t="s">
        <v>38</v>
      </c>
      <c r="J9" s="322" t="s">
        <v>39</v>
      </c>
      <c r="K9" s="322" t="s">
        <v>40</v>
      </c>
      <c r="L9" s="90">
        <v>44873</v>
      </c>
      <c r="M9" s="90">
        <v>44873</v>
      </c>
      <c r="N9" s="91">
        <f>3433/2</f>
        <v>1716.5</v>
      </c>
      <c r="O9" s="91">
        <f>3433/2</f>
        <v>1716.5</v>
      </c>
      <c r="P9" s="91">
        <f t="shared" si="0"/>
        <v>3433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7"/>
    </row>
    <row r="10" spans="1:24" s="92" customFormat="1" ht="15">
      <c r="A10" s="322" t="s">
        <v>253</v>
      </c>
      <c r="B10" s="322" t="s">
        <v>212</v>
      </c>
      <c r="C10" s="322" t="s">
        <v>620</v>
      </c>
      <c r="D10" s="47">
        <v>365</v>
      </c>
      <c r="E10" s="322" t="s">
        <v>34</v>
      </c>
      <c r="F10" s="322" t="s">
        <v>683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391</v>
      </c>
      <c r="L10" s="90">
        <v>44881</v>
      </c>
      <c r="M10" s="90">
        <v>44882</v>
      </c>
      <c r="N10" s="91">
        <f>2265.36/2</f>
        <v>1132.68</v>
      </c>
      <c r="O10" s="91">
        <f>2265.36/2</f>
        <v>1132.68</v>
      </c>
      <c r="P10" s="91">
        <f t="shared" si="0"/>
        <v>2265.36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7"/>
    </row>
    <row r="11" spans="1:24" s="92" customFormat="1" ht="15">
      <c r="A11" s="322" t="s">
        <v>253</v>
      </c>
      <c r="B11" s="322" t="s">
        <v>212</v>
      </c>
      <c r="C11" s="322" t="s">
        <v>270</v>
      </c>
      <c r="D11" s="47" t="s">
        <v>168</v>
      </c>
      <c r="E11" s="322" t="s">
        <v>599</v>
      </c>
      <c r="F11" s="322" t="s">
        <v>683</v>
      </c>
      <c r="G11" s="322" t="s">
        <v>36</v>
      </c>
      <c r="H11" s="322" t="s">
        <v>37</v>
      </c>
      <c r="I11" s="322" t="s">
        <v>38</v>
      </c>
      <c r="J11" s="322" t="s">
        <v>37</v>
      </c>
      <c r="K11" s="322" t="s">
        <v>391</v>
      </c>
      <c r="L11" s="90">
        <v>44881</v>
      </c>
      <c r="M11" s="90">
        <v>44882</v>
      </c>
      <c r="N11" s="91">
        <f>2265.36/2</f>
        <v>1132.68</v>
      </c>
      <c r="O11" s="91">
        <f>2265.36/2</f>
        <v>1132.68</v>
      </c>
      <c r="P11" s="91">
        <f t="shared" si="0"/>
        <v>2265.36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231</v>
      </c>
      <c r="B5" s="322" t="s">
        <v>229</v>
      </c>
      <c r="C5" s="322" t="s">
        <v>586</v>
      </c>
      <c r="D5" s="47">
        <v>357</v>
      </c>
      <c r="E5" s="322" t="s">
        <v>248</v>
      </c>
      <c r="F5" s="322" t="s">
        <v>684</v>
      </c>
      <c r="G5" s="322" t="s">
        <v>36</v>
      </c>
      <c r="H5" s="322" t="s">
        <v>37</v>
      </c>
      <c r="I5" s="322" t="s">
        <v>38</v>
      </c>
      <c r="J5" s="322" t="s">
        <v>39</v>
      </c>
      <c r="K5" s="322" t="s">
        <v>40</v>
      </c>
      <c r="L5" s="90">
        <v>44908</v>
      </c>
      <c r="M5" s="90">
        <v>44910</v>
      </c>
      <c r="N5" s="91">
        <f>1670.62/2</f>
        <v>835.31</v>
      </c>
      <c r="O5" s="91">
        <f>1670.62/2</f>
        <v>835.31</v>
      </c>
      <c r="P5" s="91">
        <f>SUM(N5:O5)</f>
        <v>1670.62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7"/>
    </row>
    <row r="6" spans="1:24" s="92" customFormat="1" ht="15">
      <c r="A6" s="322" t="s">
        <v>253</v>
      </c>
      <c r="B6" s="322" t="s">
        <v>234</v>
      </c>
      <c r="C6" s="322" t="s">
        <v>456</v>
      </c>
      <c r="D6" s="47">
        <v>300</v>
      </c>
      <c r="E6" s="322" t="s">
        <v>685</v>
      </c>
      <c r="F6" s="322" t="s">
        <v>686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90">
        <v>44899</v>
      </c>
      <c r="M6" s="90">
        <v>44901</v>
      </c>
      <c r="N6" s="91">
        <f>3264.36/2</f>
        <v>1632.18</v>
      </c>
      <c r="O6" s="91">
        <f>3264.36/2</f>
        <v>1632.18</v>
      </c>
      <c r="P6" s="91">
        <f t="shared" ref="P6:P7" si="0">SUM(N6:O6)</f>
        <v>3264.36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7"/>
    </row>
    <row r="7" spans="1:24" s="92" customFormat="1" ht="15">
      <c r="A7" s="322" t="s">
        <v>253</v>
      </c>
      <c r="B7" s="322" t="s">
        <v>253</v>
      </c>
      <c r="C7" s="322" t="s">
        <v>387</v>
      </c>
      <c r="D7" s="47"/>
      <c r="E7" s="322" t="s">
        <v>50</v>
      </c>
      <c r="F7" s="322" t="s">
        <v>687</v>
      </c>
      <c r="G7" s="322" t="s">
        <v>36</v>
      </c>
      <c r="H7" s="322" t="s">
        <v>37</v>
      </c>
      <c r="I7" s="322" t="s">
        <v>38</v>
      </c>
      <c r="J7" s="322" t="s">
        <v>127</v>
      </c>
      <c r="K7" s="322" t="s">
        <v>63</v>
      </c>
      <c r="L7" s="90">
        <v>44894</v>
      </c>
      <c r="M7" s="90">
        <v>44898</v>
      </c>
      <c r="N7" s="91">
        <f>1879.42/2</f>
        <v>939.71</v>
      </c>
      <c r="O7" s="91">
        <f>1879.42/2</f>
        <v>939.71</v>
      </c>
      <c r="P7" s="91">
        <f t="shared" si="0"/>
        <v>1879.42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/>
      <c r="B5" s="322"/>
      <c r="C5" s="322"/>
      <c r="D5" s="47"/>
      <c r="E5" s="322"/>
      <c r="F5" s="322"/>
      <c r="G5" s="322"/>
      <c r="H5" s="322"/>
      <c r="I5" s="322"/>
      <c r="J5" s="322"/>
      <c r="K5" s="322"/>
      <c r="L5" s="90"/>
      <c r="M5" s="90"/>
      <c r="N5" s="91"/>
      <c r="O5" s="91"/>
      <c r="P5" s="91">
        <f>SUM(N5:O5)</f>
        <v>0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0</v>
      </c>
      <c r="W5" s="70">
        <f>V5</f>
        <v>0</v>
      </c>
      <c r="X5" s="77"/>
    </row>
    <row r="6" spans="1:24" s="92" customFormat="1" ht="15">
      <c r="A6" s="322"/>
      <c r="B6" s="322"/>
      <c r="C6" s="322"/>
      <c r="D6" s="47"/>
      <c r="E6" s="322"/>
      <c r="F6" s="322"/>
      <c r="G6" s="322"/>
      <c r="H6" s="322"/>
      <c r="I6" s="322"/>
      <c r="J6" s="322"/>
      <c r="K6" s="322"/>
      <c r="L6" s="90"/>
      <c r="M6" s="90"/>
      <c r="N6" s="91"/>
      <c r="O6" s="91"/>
      <c r="P6" s="91">
        <f t="shared" ref="P6:P7" si="0">SUM(N6:O6)</f>
        <v>0</v>
      </c>
      <c r="Q6" s="77">
        <v>0</v>
      </c>
      <c r="R6" s="91">
        <v>0</v>
      </c>
      <c r="S6" s="77">
        <v>0</v>
      </c>
      <c r="T6" s="91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7"/>
    </row>
    <row r="7" spans="1:24" s="92" customFormat="1" ht="15">
      <c r="A7" s="322"/>
      <c r="B7" s="322"/>
      <c r="C7" s="322"/>
      <c r="D7" s="47"/>
      <c r="E7" s="322"/>
      <c r="F7" s="322"/>
      <c r="G7" s="322"/>
      <c r="H7" s="322"/>
      <c r="I7" s="322"/>
      <c r="J7" s="322"/>
      <c r="K7" s="322"/>
      <c r="L7" s="90"/>
      <c r="M7" s="90"/>
      <c r="N7" s="91"/>
      <c r="O7" s="91"/>
      <c r="P7" s="91">
        <f t="shared" si="0"/>
        <v>0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253</v>
      </c>
      <c r="B5" s="322" t="s">
        <v>253</v>
      </c>
      <c r="C5" s="322" t="s">
        <v>387</v>
      </c>
      <c r="D5" s="47"/>
      <c r="E5" s="322" t="s">
        <v>50</v>
      </c>
      <c r="F5" s="322" t="s">
        <v>688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90">
        <v>45001</v>
      </c>
      <c r="M5" s="90">
        <v>45002</v>
      </c>
      <c r="N5" s="91">
        <f t="shared" ref="N5:O7" si="0">936.14/2</f>
        <v>468.07</v>
      </c>
      <c r="O5" s="91">
        <f t="shared" si="0"/>
        <v>468.07</v>
      </c>
      <c r="P5" s="91">
        <f>SUM(N5:O5)</f>
        <v>936.14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7"/>
    </row>
    <row r="6" spans="1:24" s="92" customFormat="1" ht="15">
      <c r="A6" s="322" t="s">
        <v>253</v>
      </c>
      <c r="B6" s="322" t="s">
        <v>212</v>
      </c>
      <c r="C6" s="322" t="s">
        <v>620</v>
      </c>
      <c r="D6" s="47">
        <v>365</v>
      </c>
      <c r="E6" s="322" t="s">
        <v>34</v>
      </c>
      <c r="F6" s="322" t="s">
        <v>688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90">
        <v>45001</v>
      </c>
      <c r="M6" s="90">
        <v>45002</v>
      </c>
      <c r="N6" s="91">
        <f t="shared" si="0"/>
        <v>468.07</v>
      </c>
      <c r="O6" s="91">
        <f t="shared" si="0"/>
        <v>468.07</v>
      </c>
      <c r="P6" s="91">
        <f t="shared" ref="P6:P10" si="1">SUM(N6:O6)</f>
        <v>936.14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7"/>
    </row>
    <row r="7" spans="1:24" s="92" customFormat="1" ht="15">
      <c r="A7" s="322" t="s">
        <v>253</v>
      </c>
      <c r="B7" s="322" t="s">
        <v>212</v>
      </c>
      <c r="C7" s="322" t="s">
        <v>270</v>
      </c>
      <c r="D7" s="47" t="s">
        <v>168</v>
      </c>
      <c r="E7" s="322" t="s">
        <v>599</v>
      </c>
      <c r="F7" s="322" t="s">
        <v>688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90">
        <v>45001</v>
      </c>
      <c r="M7" s="90">
        <v>45002</v>
      </c>
      <c r="N7" s="91">
        <f t="shared" si="0"/>
        <v>468.07</v>
      </c>
      <c r="O7" s="91">
        <f t="shared" si="0"/>
        <v>468.07</v>
      </c>
      <c r="P7" s="91">
        <f t="shared" si="1"/>
        <v>936.14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7"/>
    </row>
    <row r="8" spans="1:24" s="92" customFormat="1" ht="15">
      <c r="A8" s="322" t="s">
        <v>231</v>
      </c>
      <c r="B8" s="322" t="s">
        <v>229</v>
      </c>
      <c r="C8" s="322" t="s">
        <v>586</v>
      </c>
      <c r="D8" s="47">
        <v>357</v>
      </c>
      <c r="E8" s="322" t="s">
        <v>248</v>
      </c>
      <c r="F8" s="322" t="s">
        <v>689</v>
      </c>
      <c r="G8" s="322" t="s">
        <v>36</v>
      </c>
      <c r="H8" s="322" t="s">
        <v>37</v>
      </c>
      <c r="I8" s="322" t="s">
        <v>38</v>
      </c>
      <c r="J8" s="322" t="s">
        <v>62</v>
      </c>
      <c r="K8" s="322" t="s">
        <v>63</v>
      </c>
      <c r="L8" s="90">
        <v>44997</v>
      </c>
      <c r="M8" s="90">
        <v>45002</v>
      </c>
      <c r="N8" s="91">
        <v>1623.42</v>
      </c>
      <c r="O8" s="91">
        <v>1879.42</v>
      </c>
      <c r="P8" s="91">
        <f t="shared" si="1"/>
        <v>3502.84</v>
      </c>
      <c r="Q8" s="77">
        <v>0</v>
      </c>
      <c r="R8" s="91">
        <v>0</v>
      </c>
      <c r="S8" s="77">
        <v>0</v>
      </c>
      <c r="T8" s="91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7"/>
    </row>
    <row r="9" spans="1:24" s="92" customFormat="1" ht="15">
      <c r="A9" s="322" t="s">
        <v>253</v>
      </c>
      <c r="B9" s="322" t="s">
        <v>288</v>
      </c>
      <c r="C9" s="322" t="s">
        <v>345</v>
      </c>
      <c r="D9" s="47">
        <v>74</v>
      </c>
      <c r="E9" s="322" t="s">
        <v>535</v>
      </c>
      <c r="F9" s="322" t="s">
        <v>690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391</v>
      </c>
      <c r="L9" s="90">
        <v>44988</v>
      </c>
      <c r="M9" s="90">
        <v>44989</v>
      </c>
      <c r="N9" s="91">
        <f>1709.31/2</f>
        <v>854.65499999999997</v>
      </c>
      <c r="O9" s="91">
        <f>1709.31/2</f>
        <v>854.65499999999997</v>
      </c>
      <c r="P9" s="91">
        <f t="shared" si="1"/>
        <v>1709.31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7"/>
    </row>
    <row r="10" spans="1:24" s="92" customFormat="1" ht="15">
      <c r="A10" s="327" t="s">
        <v>371</v>
      </c>
      <c r="B10" s="327" t="s">
        <v>240</v>
      </c>
      <c r="C10" s="327" t="s">
        <v>140</v>
      </c>
      <c r="D10" s="205">
        <v>230</v>
      </c>
      <c r="E10" s="329" t="s">
        <v>142</v>
      </c>
      <c r="F10" s="327" t="s">
        <v>691</v>
      </c>
      <c r="G10" s="322" t="s">
        <v>36</v>
      </c>
      <c r="H10" s="322" t="s">
        <v>62</v>
      </c>
      <c r="I10" s="322" t="s">
        <v>63</v>
      </c>
      <c r="J10" s="322" t="s">
        <v>39</v>
      </c>
      <c r="K10" s="322" t="s">
        <v>40</v>
      </c>
      <c r="L10" s="254">
        <v>45011</v>
      </c>
      <c r="M10" s="254">
        <v>45013</v>
      </c>
      <c r="N10" s="252">
        <f>3156.22/2</f>
        <v>1578.11</v>
      </c>
      <c r="O10" s="252">
        <f>3156.22/2</f>
        <v>1578.11</v>
      </c>
      <c r="P10" s="252">
        <f t="shared" si="1"/>
        <v>3156.22</v>
      </c>
      <c r="Q10" s="250">
        <v>7</v>
      </c>
      <c r="R10" s="252">
        <v>120</v>
      </c>
      <c r="S10" s="250">
        <v>0</v>
      </c>
      <c r="T10" s="252">
        <v>0</v>
      </c>
      <c r="U10" s="247">
        <f t="shared" si="2"/>
        <v>840</v>
      </c>
      <c r="V10" s="247">
        <f>P10+U10</f>
        <v>3996.22</v>
      </c>
      <c r="W10" s="247">
        <f>V10</f>
        <v>3996.22</v>
      </c>
      <c r="X10" s="327"/>
    </row>
    <row r="11" spans="1:24" s="92" customFormat="1" ht="15">
      <c r="A11" s="328"/>
      <c r="B11" s="328"/>
      <c r="C11" s="328"/>
      <c r="D11" s="205"/>
      <c r="E11" s="329"/>
      <c r="F11" s="328"/>
      <c r="G11" s="322" t="s">
        <v>36</v>
      </c>
      <c r="H11" s="322" t="s">
        <v>39</v>
      </c>
      <c r="I11" s="322" t="s">
        <v>40</v>
      </c>
      <c r="J11" s="322" t="s">
        <v>37</v>
      </c>
      <c r="K11" s="322" t="s">
        <v>38</v>
      </c>
      <c r="L11" s="255"/>
      <c r="M11" s="255"/>
      <c r="N11" s="253"/>
      <c r="O11" s="253"/>
      <c r="P11" s="253"/>
      <c r="Q11" s="251"/>
      <c r="R11" s="253"/>
      <c r="S11" s="251"/>
      <c r="T11" s="253"/>
      <c r="U11" s="248"/>
      <c r="V11" s="248"/>
      <c r="W11" s="248"/>
      <c r="X11" s="328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371</v>
      </c>
      <c r="B5" s="322" t="s">
        <v>240</v>
      </c>
      <c r="C5" s="322" t="s">
        <v>448</v>
      </c>
      <c r="D5" s="47">
        <v>336</v>
      </c>
      <c r="E5" s="322" t="s">
        <v>692</v>
      </c>
      <c r="F5" s="322" t="s">
        <v>693</v>
      </c>
      <c r="G5" s="322" t="s">
        <v>36</v>
      </c>
      <c r="H5" s="322" t="s">
        <v>37</v>
      </c>
      <c r="I5" s="322" t="s">
        <v>38</v>
      </c>
      <c r="J5" s="322" t="s">
        <v>39</v>
      </c>
      <c r="K5" s="322" t="s">
        <v>40</v>
      </c>
      <c r="L5" s="90">
        <v>45019</v>
      </c>
      <c r="M5" s="90">
        <v>45021</v>
      </c>
      <c r="N5" s="91">
        <f t="shared" ref="N5:O7" si="0">3258.83/2</f>
        <v>1629.415</v>
      </c>
      <c r="O5" s="91">
        <f t="shared" si="0"/>
        <v>1629.415</v>
      </c>
      <c r="P5" s="91">
        <f>SUM(N5:O5)</f>
        <v>3258.83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7"/>
    </row>
    <row r="6" spans="1:24" s="92" customFormat="1" ht="15">
      <c r="A6" s="322" t="s">
        <v>371</v>
      </c>
      <c r="B6" s="322" t="s">
        <v>240</v>
      </c>
      <c r="C6" s="322" t="s">
        <v>140</v>
      </c>
      <c r="D6" s="47">
        <v>230</v>
      </c>
      <c r="E6" s="322" t="s">
        <v>142</v>
      </c>
      <c r="F6" s="322" t="s">
        <v>693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40</v>
      </c>
      <c r="L6" s="90">
        <v>45019</v>
      </c>
      <c r="M6" s="90">
        <v>45021</v>
      </c>
      <c r="N6" s="91">
        <f t="shared" si="0"/>
        <v>1629.415</v>
      </c>
      <c r="O6" s="91">
        <f t="shared" si="0"/>
        <v>1629.415</v>
      </c>
      <c r="P6" s="91">
        <f t="shared" ref="P6:P10" si="1">SUM(N6:O6)</f>
        <v>3258.83</v>
      </c>
      <c r="Q6" s="77">
        <v>6</v>
      </c>
      <c r="R6" s="91">
        <v>120</v>
      </c>
      <c r="S6" s="77">
        <v>0</v>
      </c>
      <c r="T6" s="91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7"/>
    </row>
    <row r="7" spans="1:24" s="92" customFormat="1" ht="15">
      <c r="A7" s="322" t="s">
        <v>371</v>
      </c>
      <c r="B7" s="322" t="s">
        <v>371</v>
      </c>
      <c r="C7" s="322" t="s">
        <v>137</v>
      </c>
      <c r="D7" s="47">
        <v>202</v>
      </c>
      <c r="E7" s="322" t="s">
        <v>78</v>
      </c>
      <c r="F7" s="322" t="s">
        <v>693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40</v>
      </c>
      <c r="L7" s="90">
        <v>45019</v>
      </c>
      <c r="M7" s="90">
        <v>45021</v>
      </c>
      <c r="N7" s="91">
        <f t="shared" si="0"/>
        <v>1629.415</v>
      </c>
      <c r="O7" s="91">
        <f t="shared" si="0"/>
        <v>1629.415</v>
      </c>
      <c r="P7" s="91">
        <f t="shared" si="1"/>
        <v>3258.83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7"/>
    </row>
    <row r="8" spans="1:24" s="92" customFormat="1" ht="15">
      <c r="A8" s="322" t="s">
        <v>253</v>
      </c>
      <c r="B8" s="322" t="s">
        <v>288</v>
      </c>
      <c r="C8" s="322" t="s">
        <v>642</v>
      </c>
      <c r="D8" s="47">
        <v>252</v>
      </c>
      <c r="E8" s="322" t="s">
        <v>694</v>
      </c>
      <c r="F8" s="322" t="s">
        <v>695</v>
      </c>
      <c r="G8" s="322" t="s">
        <v>36</v>
      </c>
      <c r="H8" s="322" t="s">
        <v>37</v>
      </c>
      <c r="I8" s="322" t="s">
        <v>38</v>
      </c>
      <c r="J8" s="322" t="s">
        <v>598</v>
      </c>
      <c r="K8" s="322" t="s">
        <v>391</v>
      </c>
      <c r="L8" s="90">
        <v>45021</v>
      </c>
      <c r="M8" s="90">
        <v>45036</v>
      </c>
      <c r="N8" s="91">
        <f>1112.2/2</f>
        <v>556.1</v>
      </c>
      <c r="O8" s="91">
        <f>1112.2/2</f>
        <v>556.1</v>
      </c>
      <c r="P8" s="91">
        <f t="shared" si="1"/>
        <v>1112.2</v>
      </c>
      <c r="Q8" s="77">
        <v>16</v>
      </c>
      <c r="R8" s="91">
        <v>120</v>
      </c>
      <c r="S8" s="77">
        <v>0</v>
      </c>
      <c r="T8" s="91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7"/>
    </row>
    <row r="9" spans="1:24" s="92" customFormat="1" ht="15">
      <c r="A9" s="322" t="s">
        <v>253</v>
      </c>
      <c r="B9" s="322" t="s">
        <v>253</v>
      </c>
      <c r="C9" s="322" t="s">
        <v>675</v>
      </c>
      <c r="D9" s="47">
        <v>383</v>
      </c>
      <c r="E9" s="322" t="s">
        <v>676</v>
      </c>
      <c r="F9" s="322" t="s">
        <v>696</v>
      </c>
      <c r="G9" s="322" t="s">
        <v>36</v>
      </c>
      <c r="H9" s="322" t="s">
        <v>37</v>
      </c>
      <c r="I9" s="322" t="s">
        <v>38</v>
      </c>
      <c r="J9" s="322" t="s">
        <v>39</v>
      </c>
      <c r="K9" s="322" t="s">
        <v>40</v>
      </c>
      <c r="L9" s="90">
        <v>45040</v>
      </c>
      <c r="M9" s="90">
        <v>45041</v>
      </c>
      <c r="N9" s="91">
        <f>5617.58/2</f>
        <v>2808.79</v>
      </c>
      <c r="O9" s="91">
        <f>5617.58/2</f>
        <v>2808.79</v>
      </c>
      <c r="P9" s="91">
        <f t="shared" si="1"/>
        <v>5617.58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7"/>
    </row>
    <row r="10" spans="1:24" s="92" customFormat="1" ht="15">
      <c r="A10" s="322" t="s">
        <v>253</v>
      </c>
      <c r="B10" s="322" t="s">
        <v>253</v>
      </c>
      <c r="C10" s="322" t="s">
        <v>387</v>
      </c>
      <c r="D10" s="47"/>
      <c r="E10" s="322" t="s">
        <v>50</v>
      </c>
      <c r="F10" s="322" t="s">
        <v>696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40</v>
      </c>
      <c r="L10" s="90">
        <v>45040</v>
      </c>
      <c r="M10" s="90">
        <v>45041</v>
      </c>
      <c r="N10" s="91">
        <f>5617.58/2</f>
        <v>2808.79</v>
      </c>
      <c r="O10" s="91">
        <f>5617.58/2</f>
        <v>2808.79</v>
      </c>
      <c r="P10" s="91">
        <f t="shared" si="1"/>
        <v>5617.58</v>
      </c>
      <c r="Q10" s="77">
        <v>0</v>
      </c>
      <c r="R10" s="91">
        <v>0</v>
      </c>
      <c r="S10" s="77">
        <v>0</v>
      </c>
      <c r="T10" s="91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.25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253</v>
      </c>
      <c r="B5" s="322" t="s">
        <v>253</v>
      </c>
      <c r="C5" s="322" t="s">
        <v>387</v>
      </c>
      <c r="D5" s="47"/>
      <c r="E5" s="322" t="s">
        <v>50</v>
      </c>
      <c r="F5" s="322" t="s">
        <v>697</v>
      </c>
      <c r="G5" s="322" t="s">
        <v>36</v>
      </c>
      <c r="H5" s="322" t="s">
        <v>37</v>
      </c>
      <c r="I5" s="322" t="s">
        <v>38</v>
      </c>
      <c r="J5" s="322" t="s">
        <v>39</v>
      </c>
      <c r="K5" s="322" t="s">
        <v>40</v>
      </c>
      <c r="L5" s="90">
        <v>45055</v>
      </c>
      <c r="M5" s="90">
        <v>45060</v>
      </c>
      <c r="N5" s="91">
        <f>1309.52/2</f>
        <v>654.76</v>
      </c>
      <c r="O5" s="91">
        <f>1309.52/2</f>
        <v>654.76</v>
      </c>
      <c r="P5" s="91">
        <f>SUM(N5:O5)</f>
        <v>1309.52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7"/>
    </row>
    <row r="6" spans="1:24" s="92" customFormat="1" ht="15">
      <c r="A6" s="322" t="s">
        <v>253</v>
      </c>
      <c r="B6" s="322" t="s">
        <v>253</v>
      </c>
      <c r="C6" s="322" t="s">
        <v>675</v>
      </c>
      <c r="D6" s="47">
        <v>383</v>
      </c>
      <c r="E6" s="322" t="s">
        <v>698</v>
      </c>
      <c r="F6" s="322" t="s">
        <v>699</v>
      </c>
      <c r="G6" s="322" t="s">
        <v>36</v>
      </c>
      <c r="H6" s="322" t="s">
        <v>37</v>
      </c>
      <c r="I6" s="322" t="s">
        <v>38</v>
      </c>
      <c r="J6" s="322" t="s">
        <v>39</v>
      </c>
      <c r="K6" s="322" t="s">
        <v>40</v>
      </c>
      <c r="L6" s="90">
        <v>45055</v>
      </c>
      <c r="M6" s="90">
        <v>45057</v>
      </c>
      <c r="N6" s="91">
        <f>1592.83/2</f>
        <v>796.41499999999996</v>
      </c>
      <c r="O6" s="91">
        <f>1592.83/2</f>
        <v>796.41499999999996</v>
      </c>
      <c r="P6" s="91">
        <f t="shared" ref="P6:P11" si="0">SUM(N6:O6)</f>
        <v>1592.83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7"/>
    </row>
    <row r="7" spans="1:24" s="92" customFormat="1" ht="15">
      <c r="A7" s="322" t="s">
        <v>371</v>
      </c>
      <c r="B7" s="322" t="s">
        <v>371</v>
      </c>
      <c r="C7" s="322" t="s">
        <v>137</v>
      </c>
      <c r="D7" s="47">
        <v>202</v>
      </c>
      <c r="E7" s="322" t="s">
        <v>700</v>
      </c>
      <c r="F7" s="322" t="s">
        <v>699</v>
      </c>
      <c r="G7" s="322" t="s">
        <v>36</v>
      </c>
      <c r="H7" s="322" t="s">
        <v>37</v>
      </c>
      <c r="I7" s="322" t="s">
        <v>38</v>
      </c>
      <c r="J7" s="322" t="s">
        <v>39</v>
      </c>
      <c r="K7" s="322" t="s">
        <v>40</v>
      </c>
      <c r="L7" s="90">
        <v>45055</v>
      </c>
      <c r="M7" s="90">
        <v>45057</v>
      </c>
      <c r="N7" s="91">
        <f>1619.83/2</f>
        <v>809.91499999999996</v>
      </c>
      <c r="O7" s="91">
        <f>1619.83/2</f>
        <v>809.91499999999996</v>
      </c>
      <c r="P7" s="91">
        <f t="shared" si="0"/>
        <v>1619.83</v>
      </c>
      <c r="Q7" s="77">
        <v>3</v>
      </c>
      <c r="R7" s="91">
        <v>120</v>
      </c>
      <c r="S7" s="77">
        <v>0</v>
      </c>
      <c r="T7" s="91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7"/>
    </row>
    <row r="8" spans="1:24" s="92" customFormat="1" ht="15">
      <c r="A8" s="322" t="s">
        <v>371</v>
      </c>
      <c r="B8" s="322" t="s">
        <v>371</v>
      </c>
      <c r="C8" s="322" t="s">
        <v>79</v>
      </c>
      <c r="D8" s="47"/>
      <c r="E8" s="322" t="s">
        <v>80</v>
      </c>
      <c r="F8" s="322" t="s">
        <v>699</v>
      </c>
      <c r="G8" s="322" t="s">
        <v>36</v>
      </c>
      <c r="H8" s="322" t="s">
        <v>37</v>
      </c>
      <c r="I8" s="322" t="s">
        <v>38</v>
      </c>
      <c r="J8" s="322" t="s">
        <v>39</v>
      </c>
      <c r="K8" s="322" t="s">
        <v>40</v>
      </c>
      <c r="L8" s="90">
        <v>45055</v>
      </c>
      <c r="M8" s="90">
        <v>45057</v>
      </c>
      <c r="N8" s="91">
        <f>1699.96/2</f>
        <v>849.98</v>
      </c>
      <c r="O8" s="91">
        <f>1699.96/2</f>
        <v>849.98</v>
      </c>
      <c r="P8" s="91">
        <f t="shared" si="0"/>
        <v>1699.96</v>
      </c>
      <c r="Q8" s="77">
        <v>0</v>
      </c>
      <c r="R8" s="91">
        <v>0</v>
      </c>
      <c r="S8" s="77">
        <v>0</v>
      </c>
      <c r="T8" s="91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7"/>
    </row>
    <row r="9" spans="1:24" s="92" customFormat="1" ht="15">
      <c r="A9" s="322" t="s">
        <v>231</v>
      </c>
      <c r="B9" s="322" t="s">
        <v>241</v>
      </c>
      <c r="C9" s="322" t="s">
        <v>701</v>
      </c>
      <c r="D9" s="47">
        <v>394</v>
      </c>
      <c r="E9" s="322" t="s">
        <v>702</v>
      </c>
      <c r="F9" s="322" t="s">
        <v>703</v>
      </c>
      <c r="G9" s="322" t="s">
        <v>36</v>
      </c>
      <c r="H9" s="322" t="s">
        <v>37</v>
      </c>
      <c r="I9" s="322" t="s">
        <v>38</v>
      </c>
      <c r="J9" s="322" t="s">
        <v>116</v>
      </c>
      <c r="K9" s="322" t="s">
        <v>117</v>
      </c>
      <c r="L9" s="90">
        <v>45056</v>
      </c>
      <c r="M9" s="90">
        <v>45058</v>
      </c>
      <c r="N9" s="91">
        <f>5095/2</f>
        <v>2547.5</v>
      </c>
      <c r="O9" s="91">
        <f>5095/2</f>
        <v>2547.5</v>
      </c>
      <c r="P9" s="91">
        <f t="shared" si="0"/>
        <v>5095</v>
      </c>
      <c r="Q9" s="77">
        <v>3</v>
      </c>
      <c r="R9" s="91">
        <v>120</v>
      </c>
      <c r="S9" s="77">
        <v>0</v>
      </c>
      <c r="T9" s="91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7"/>
    </row>
    <row r="10" spans="1:24" s="92" customFormat="1" ht="15">
      <c r="A10" s="322" t="s">
        <v>231</v>
      </c>
      <c r="B10" s="322" t="s">
        <v>231</v>
      </c>
      <c r="C10" s="322" t="s">
        <v>704</v>
      </c>
      <c r="D10" s="47"/>
      <c r="E10" s="322" t="s">
        <v>562</v>
      </c>
      <c r="F10" s="322" t="s">
        <v>703</v>
      </c>
      <c r="G10" s="322" t="s">
        <v>36</v>
      </c>
      <c r="H10" s="322" t="s">
        <v>37</v>
      </c>
      <c r="I10" s="322" t="s">
        <v>38</v>
      </c>
      <c r="J10" s="322" t="s">
        <v>116</v>
      </c>
      <c r="K10" s="322" t="s">
        <v>117</v>
      </c>
      <c r="L10" s="90">
        <v>45056</v>
      </c>
      <c r="M10" s="90">
        <v>45058</v>
      </c>
      <c r="N10" s="91">
        <f>4603/2</f>
        <v>2301.5</v>
      </c>
      <c r="O10" s="91">
        <f>4603/2</f>
        <v>2301.5</v>
      </c>
      <c r="P10" s="91">
        <f t="shared" si="0"/>
        <v>4603</v>
      </c>
      <c r="Q10" s="77">
        <v>0</v>
      </c>
      <c r="R10" s="91">
        <v>0</v>
      </c>
      <c r="S10" s="77">
        <v>0</v>
      </c>
      <c r="T10" s="91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7"/>
    </row>
    <row r="11" spans="1:24" ht="15">
      <c r="A11" s="329" t="s">
        <v>253</v>
      </c>
      <c r="B11" s="329" t="s">
        <v>253</v>
      </c>
      <c r="C11" s="329" t="s">
        <v>387</v>
      </c>
      <c r="D11" s="256"/>
      <c r="E11" s="327" t="s">
        <v>50</v>
      </c>
      <c r="F11" s="260" t="s">
        <v>705</v>
      </c>
      <c r="G11" s="322" t="s">
        <v>36</v>
      </c>
      <c r="H11" s="322" t="s">
        <v>37</v>
      </c>
      <c r="I11" s="322" t="s">
        <v>38</v>
      </c>
      <c r="J11" s="322" t="s">
        <v>39</v>
      </c>
      <c r="K11" s="322" t="s">
        <v>40</v>
      </c>
      <c r="L11" s="94">
        <v>45063</v>
      </c>
      <c r="M11" s="94">
        <v>45064</v>
      </c>
      <c r="N11" s="252">
        <f>8486.12/2</f>
        <v>4243.0600000000004</v>
      </c>
      <c r="O11" s="252">
        <f>8486.12/2</f>
        <v>4243.0600000000004</v>
      </c>
      <c r="P11" s="252">
        <f t="shared" si="0"/>
        <v>8486.1200000000008</v>
      </c>
      <c r="Q11" s="263">
        <v>0</v>
      </c>
      <c r="R11" s="252">
        <v>0</v>
      </c>
      <c r="S11" s="263">
        <v>0</v>
      </c>
      <c r="T11" s="252">
        <v>0</v>
      </c>
      <c r="U11" s="263">
        <v>0</v>
      </c>
      <c r="V11" s="247">
        <f t="shared" ref="V11:V14" si="4">P11+U11</f>
        <v>8486.1200000000008</v>
      </c>
      <c r="W11" s="247">
        <f t="shared" ref="W11:W14" si="5">V11</f>
        <v>8486.1200000000008</v>
      </c>
      <c r="X11" s="246"/>
    </row>
    <row r="12" spans="1:24" ht="15">
      <c r="A12" s="329"/>
      <c r="B12" s="329"/>
      <c r="C12" s="329"/>
      <c r="D12" s="257"/>
      <c r="E12" s="330"/>
      <c r="F12" s="261"/>
      <c r="G12" s="322" t="s">
        <v>36</v>
      </c>
      <c r="H12" s="322" t="s">
        <v>39</v>
      </c>
      <c r="I12" s="322" t="s">
        <v>40</v>
      </c>
      <c r="J12" s="322" t="s">
        <v>127</v>
      </c>
      <c r="K12" s="322" t="s">
        <v>63</v>
      </c>
      <c r="L12" s="94">
        <v>45064</v>
      </c>
      <c r="M12" s="94">
        <v>45064</v>
      </c>
      <c r="N12" s="259"/>
      <c r="O12" s="259"/>
      <c r="P12" s="259"/>
      <c r="Q12" s="263"/>
      <c r="R12" s="259"/>
      <c r="S12" s="263"/>
      <c r="T12" s="259"/>
      <c r="U12" s="263"/>
      <c r="V12" s="264"/>
      <c r="W12" s="264"/>
      <c r="X12" s="246"/>
    </row>
    <row r="13" spans="1:24" ht="15">
      <c r="A13" s="329"/>
      <c r="B13" s="329"/>
      <c r="C13" s="329"/>
      <c r="D13" s="258"/>
      <c r="E13" s="328"/>
      <c r="F13" s="262"/>
      <c r="G13" s="322" t="s">
        <v>36</v>
      </c>
      <c r="H13" s="322" t="s">
        <v>127</v>
      </c>
      <c r="I13" s="322" t="s">
        <v>63</v>
      </c>
      <c r="J13" s="322" t="s">
        <v>37</v>
      </c>
      <c r="K13" s="322" t="s">
        <v>38</v>
      </c>
      <c r="L13" s="94">
        <v>45064</v>
      </c>
      <c r="M13" s="94">
        <v>45064</v>
      </c>
      <c r="N13" s="253"/>
      <c r="O13" s="253"/>
      <c r="P13" s="253"/>
      <c r="Q13" s="263"/>
      <c r="R13" s="253"/>
      <c r="S13" s="263"/>
      <c r="T13" s="253"/>
      <c r="U13" s="263"/>
      <c r="V13" s="248"/>
      <c r="W13" s="248"/>
      <c r="X13" s="246"/>
    </row>
    <row r="14" spans="1:24" ht="15">
      <c r="A14" s="327" t="s">
        <v>371</v>
      </c>
      <c r="B14" s="327" t="s">
        <v>371</v>
      </c>
      <c r="C14" s="329" t="s">
        <v>79</v>
      </c>
      <c r="D14" s="256"/>
      <c r="E14" s="327" t="s">
        <v>80</v>
      </c>
      <c r="F14" s="260" t="s">
        <v>705</v>
      </c>
      <c r="G14" s="322" t="s">
        <v>36</v>
      </c>
      <c r="H14" s="322" t="s">
        <v>37</v>
      </c>
      <c r="I14" s="322" t="s">
        <v>38</v>
      </c>
      <c r="J14" s="322" t="s">
        <v>39</v>
      </c>
      <c r="K14" s="322" t="s">
        <v>40</v>
      </c>
      <c r="L14" s="94">
        <v>45063</v>
      </c>
      <c r="M14" s="94">
        <v>45064</v>
      </c>
      <c r="N14" s="252">
        <f>8375.42/2</f>
        <v>4187.71</v>
      </c>
      <c r="O14" s="252">
        <f>8375.42/2</f>
        <v>4187.71</v>
      </c>
      <c r="P14" s="252">
        <f>SUM(N14:O16)</f>
        <v>8375.42</v>
      </c>
      <c r="Q14" s="263">
        <v>0</v>
      </c>
      <c r="R14" s="252">
        <v>0</v>
      </c>
      <c r="S14" s="263">
        <v>0</v>
      </c>
      <c r="T14" s="252">
        <v>0</v>
      </c>
      <c r="U14" s="263">
        <v>0</v>
      </c>
      <c r="V14" s="247">
        <f t="shared" si="4"/>
        <v>8375.42</v>
      </c>
      <c r="W14" s="247">
        <f t="shared" si="5"/>
        <v>8375.42</v>
      </c>
      <c r="X14" s="246"/>
    </row>
    <row r="15" spans="1:24" ht="15">
      <c r="A15" s="330"/>
      <c r="B15" s="330"/>
      <c r="C15" s="329"/>
      <c r="D15" s="257"/>
      <c r="E15" s="330"/>
      <c r="F15" s="261"/>
      <c r="G15" s="322" t="s">
        <v>36</v>
      </c>
      <c r="H15" s="322" t="s">
        <v>127</v>
      </c>
      <c r="I15" s="322" t="s">
        <v>40</v>
      </c>
      <c r="J15" s="322" t="s">
        <v>127</v>
      </c>
      <c r="K15" s="322" t="s">
        <v>63</v>
      </c>
      <c r="L15" s="94">
        <v>45064</v>
      </c>
      <c r="M15" s="94">
        <v>45064</v>
      </c>
      <c r="N15" s="259"/>
      <c r="O15" s="259"/>
      <c r="P15" s="259"/>
      <c r="Q15" s="263"/>
      <c r="R15" s="259"/>
      <c r="S15" s="263"/>
      <c r="T15" s="259"/>
      <c r="U15" s="263"/>
      <c r="V15" s="264"/>
      <c r="W15" s="264"/>
      <c r="X15" s="246"/>
    </row>
    <row r="16" spans="1:24" ht="15">
      <c r="A16" s="328"/>
      <c r="B16" s="328"/>
      <c r="C16" s="329"/>
      <c r="D16" s="258"/>
      <c r="E16" s="328"/>
      <c r="F16" s="262"/>
      <c r="G16" s="322" t="s">
        <v>36</v>
      </c>
      <c r="H16" s="322" t="s">
        <v>39</v>
      </c>
      <c r="I16" s="322" t="s">
        <v>63</v>
      </c>
      <c r="J16" s="322" t="s">
        <v>116</v>
      </c>
      <c r="K16" s="322" t="s">
        <v>117</v>
      </c>
      <c r="L16" s="94">
        <v>45064</v>
      </c>
      <c r="M16" s="94">
        <v>45064</v>
      </c>
      <c r="N16" s="253"/>
      <c r="O16" s="253"/>
      <c r="P16" s="253"/>
      <c r="Q16" s="263"/>
      <c r="R16" s="253"/>
      <c r="S16" s="263"/>
      <c r="T16" s="253"/>
      <c r="U16" s="263"/>
      <c r="V16" s="248"/>
      <c r="W16" s="248"/>
      <c r="X16" s="246"/>
    </row>
    <row r="17" spans="1:24" ht="15">
      <c r="A17" s="327" t="s">
        <v>231</v>
      </c>
      <c r="B17" s="327" t="s">
        <v>231</v>
      </c>
      <c r="C17" s="329" t="s">
        <v>704</v>
      </c>
      <c r="D17" s="256"/>
      <c r="E17" s="327" t="s">
        <v>562</v>
      </c>
      <c r="F17" s="260" t="s">
        <v>705</v>
      </c>
      <c r="G17" s="322" t="s">
        <v>36</v>
      </c>
      <c r="H17" s="322" t="s">
        <v>37</v>
      </c>
      <c r="I17" s="322" t="s">
        <v>38</v>
      </c>
      <c r="J17" s="322" t="s">
        <v>39</v>
      </c>
      <c r="K17" s="322" t="s">
        <v>40</v>
      </c>
      <c r="L17" s="94">
        <v>45063</v>
      </c>
      <c r="M17" s="94">
        <v>45064</v>
      </c>
      <c r="N17" s="252">
        <f>8219.66/2</f>
        <v>4109.83</v>
      </c>
      <c r="O17" s="252">
        <f>8219.66/2</f>
        <v>4109.83</v>
      </c>
      <c r="P17" s="252">
        <f>SUM(N17:O19)</f>
        <v>8219.66</v>
      </c>
      <c r="Q17" s="263">
        <v>0</v>
      </c>
      <c r="R17" s="252">
        <v>0</v>
      </c>
      <c r="S17" s="263">
        <v>0</v>
      </c>
      <c r="T17" s="252">
        <v>0</v>
      </c>
      <c r="U17" s="263">
        <v>0</v>
      </c>
      <c r="V17" s="247">
        <f t="shared" ref="V17" si="6">P17+U17</f>
        <v>8219.66</v>
      </c>
      <c r="W17" s="247">
        <f t="shared" ref="W17" si="7">V17</f>
        <v>8219.66</v>
      </c>
      <c r="X17" s="246"/>
    </row>
    <row r="18" spans="1:24" ht="15">
      <c r="A18" s="330"/>
      <c r="B18" s="330"/>
      <c r="C18" s="329"/>
      <c r="D18" s="257"/>
      <c r="E18" s="330"/>
      <c r="F18" s="261"/>
      <c r="G18" s="322" t="s">
        <v>36</v>
      </c>
      <c r="H18" s="322" t="s">
        <v>39</v>
      </c>
      <c r="I18" s="322" t="s">
        <v>40</v>
      </c>
      <c r="J18" s="322" t="s">
        <v>127</v>
      </c>
      <c r="K18" s="322" t="s">
        <v>63</v>
      </c>
      <c r="L18" s="94">
        <v>45064</v>
      </c>
      <c r="M18" s="94">
        <v>45064</v>
      </c>
      <c r="N18" s="259"/>
      <c r="O18" s="259"/>
      <c r="P18" s="259"/>
      <c r="Q18" s="263"/>
      <c r="R18" s="259"/>
      <c r="S18" s="263"/>
      <c r="T18" s="259"/>
      <c r="U18" s="263"/>
      <c r="V18" s="264"/>
      <c r="W18" s="264"/>
      <c r="X18" s="246"/>
    </row>
    <row r="19" spans="1:24" ht="15">
      <c r="A19" s="328"/>
      <c r="B19" s="328"/>
      <c r="C19" s="329"/>
      <c r="D19" s="258"/>
      <c r="E19" s="328"/>
      <c r="F19" s="262"/>
      <c r="G19" s="322" t="s">
        <v>36</v>
      </c>
      <c r="H19" s="322" t="s">
        <v>127</v>
      </c>
      <c r="I19" s="322" t="s">
        <v>63</v>
      </c>
      <c r="J19" s="322" t="s">
        <v>37</v>
      </c>
      <c r="K19" s="322" t="s">
        <v>38</v>
      </c>
      <c r="L19" s="94">
        <v>45064</v>
      </c>
      <c r="M19" s="94">
        <v>45064</v>
      </c>
      <c r="N19" s="253"/>
      <c r="O19" s="253"/>
      <c r="P19" s="253"/>
      <c r="Q19" s="263"/>
      <c r="R19" s="253"/>
      <c r="S19" s="263"/>
      <c r="T19" s="253"/>
      <c r="U19" s="263"/>
      <c r="V19" s="248"/>
      <c r="W19" s="248"/>
      <c r="X19" s="246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30">
      <c r="A5" s="322" t="s">
        <v>371</v>
      </c>
      <c r="B5" s="322" t="s">
        <v>371</v>
      </c>
      <c r="C5" s="322" t="s">
        <v>79</v>
      </c>
      <c r="D5" s="47">
        <v>0</v>
      </c>
      <c r="E5" s="323" t="s">
        <v>80</v>
      </c>
      <c r="F5" s="322" t="s">
        <v>706</v>
      </c>
      <c r="G5" s="322" t="s">
        <v>36</v>
      </c>
      <c r="H5" s="322" t="s">
        <v>116</v>
      </c>
      <c r="I5" s="322" t="s">
        <v>117</v>
      </c>
      <c r="J5" s="322" t="s">
        <v>39</v>
      </c>
      <c r="K5" s="322" t="s">
        <v>40</v>
      </c>
      <c r="L5" s="90">
        <v>45096</v>
      </c>
      <c r="M5" s="90">
        <v>45099</v>
      </c>
      <c r="N5" s="91">
        <f>2027.55/2</f>
        <v>1013.775</v>
      </c>
      <c r="O5" s="91">
        <f>2027.55/2</f>
        <v>1013.775</v>
      </c>
      <c r="P5" s="91">
        <f t="shared" ref="P5:P15" si="0">SUM(N5:O5)</f>
        <v>2027.55</v>
      </c>
      <c r="Q5" s="77">
        <v>0</v>
      </c>
      <c r="R5" s="91">
        <v>0</v>
      </c>
      <c r="S5" s="77">
        <v>0</v>
      </c>
      <c r="T5" s="91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7"/>
    </row>
    <row r="6" spans="1:24" s="92" customFormat="1" ht="15">
      <c r="A6" s="322" t="s">
        <v>253</v>
      </c>
      <c r="B6" s="322" t="s">
        <v>212</v>
      </c>
      <c r="C6" s="322" t="s">
        <v>41</v>
      </c>
      <c r="D6" s="47">
        <v>129</v>
      </c>
      <c r="E6" s="322" t="s">
        <v>42</v>
      </c>
      <c r="F6" s="322" t="s">
        <v>707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90">
        <v>45090</v>
      </c>
      <c r="M6" s="90">
        <v>45093</v>
      </c>
      <c r="N6" s="91">
        <f>3267.13/2</f>
        <v>1633.5650000000001</v>
      </c>
      <c r="O6" s="91">
        <f>3267.13/2</f>
        <v>1633.5650000000001</v>
      </c>
      <c r="P6" s="91">
        <f t="shared" si="0"/>
        <v>3267.13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7"/>
    </row>
    <row r="7" spans="1:24" s="92" customFormat="1" ht="15">
      <c r="A7" s="322" t="s">
        <v>371</v>
      </c>
      <c r="B7" s="322" t="s">
        <v>371</v>
      </c>
      <c r="C7" s="322" t="s">
        <v>137</v>
      </c>
      <c r="D7" s="47">
        <v>202</v>
      </c>
      <c r="E7" s="322" t="s">
        <v>700</v>
      </c>
      <c r="F7" s="322" t="s">
        <v>708</v>
      </c>
      <c r="G7" s="322" t="s">
        <v>36</v>
      </c>
      <c r="H7" s="322" t="s">
        <v>37</v>
      </c>
      <c r="I7" s="322" t="s">
        <v>38</v>
      </c>
      <c r="J7" s="322" t="s">
        <v>62</v>
      </c>
      <c r="K7" s="322" t="s">
        <v>63</v>
      </c>
      <c r="L7" s="90">
        <v>45088</v>
      </c>
      <c r="M7" s="90">
        <v>45090</v>
      </c>
      <c r="N7" s="91">
        <f>1290.96/2</f>
        <v>645.48</v>
      </c>
      <c r="O7" s="91">
        <f>1290.96/2</f>
        <v>645.48</v>
      </c>
      <c r="P7" s="91">
        <f t="shared" si="0"/>
        <v>1290.96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7"/>
    </row>
    <row r="8" spans="1:24" s="92" customFormat="1" ht="15">
      <c r="A8" s="322" t="s">
        <v>371</v>
      </c>
      <c r="B8" s="322" t="s">
        <v>240</v>
      </c>
      <c r="C8" s="322" t="s">
        <v>140</v>
      </c>
      <c r="D8" s="47">
        <v>230</v>
      </c>
      <c r="E8" s="322" t="s">
        <v>709</v>
      </c>
      <c r="F8" s="322" t="s">
        <v>708</v>
      </c>
      <c r="G8" s="322" t="s">
        <v>36</v>
      </c>
      <c r="H8" s="322" t="s">
        <v>37</v>
      </c>
      <c r="I8" s="322" t="s">
        <v>38</v>
      </c>
      <c r="J8" s="322" t="s">
        <v>62</v>
      </c>
      <c r="K8" s="322" t="s">
        <v>63</v>
      </c>
      <c r="L8" s="90">
        <v>45088</v>
      </c>
      <c r="M8" s="90">
        <v>45090</v>
      </c>
      <c r="N8" s="91">
        <f>1290.96/2</f>
        <v>645.48</v>
      </c>
      <c r="O8" s="91">
        <f>1290.96/2</f>
        <v>645.48</v>
      </c>
      <c r="P8" s="91">
        <f t="shared" si="0"/>
        <v>1290.96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7"/>
    </row>
    <row r="9" spans="1:24" s="92" customFormat="1" ht="15">
      <c r="A9" s="322" t="s">
        <v>231</v>
      </c>
      <c r="B9" s="322" t="s">
        <v>231</v>
      </c>
      <c r="C9" s="322" t="s">
        <v>704</v>
      </c>
      <c r="D9" s="47">
        <v>0</v>
      </c>
      <c r="E9" s="322" t="s">
        <v>562</v>
      </c>
      <c r="F9" s="322" t="s">
        <v>710</v>
      </c>
      <c r="G9" s="322" t="s">
        <v>36</v>
      </c>
      <c r="H9" s="322" t="s">
        <v>37</v>
      </c>
      <c r="I9" s="322" t="s">
        <v>38</v>
      </c>
      <c r="J9" s="322" t="s">
        <v>62</v>
      </c>
      <c r="K9" s="322" t="s">
        <v>63</v>
      </c>
      <c r="L9" s="90">
        <v>45091</v>
      </c>
      <c r="M9" s="90">
        <v>45092</v>
      </c>
      <c r="N9" s="91">
        <f>6397.34/2</f>
        <v>3198.67</v>
      </c>
      <c r="O9" s="91">
        <f>6397.34/2</f>
        <v>3198.67</v>
      </c>
      <c r="P9" s="91">
        <f t="shared" si="0"/>
        <v>6397.34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7"/>
    </row>
    <row r="10" spans="1:24" s="92" customFormat="1" ht="15">
      <c r="A10" s="322" t="s">
        <v>231</v>
      </c>
      <c r="B10" s="322" t="s">
        <v>711</v>
      </c>
      <c r="C10" s="322" t="s">
        <v>712</v>
      </c>
      <c r="D10" s="47">
        <v>0</v>
      </c>
      <c r="E10" s="322" t="s">
        <v>713</v>
      </c>
      <c r="F10" s="322" t="s">
        <v>714</v>
      </c>
      <c r="G10" s="322" t="s">
        <v>36</v>
      </c>
      <c r="H10" s="322" t="s">
        <v>39</v>
      </c>
      <c r="I10" s="322" t="s">
        <v>40</v>
      </c>
      <c r="J10" s="322" t="s">
        <v>37</v>
      </c>
      <c r="K10" s="322" t="s">
        <v>38</v>
      </c>
      <c r="L10" s="90">
        <v>45103</v>
      </c>
      <c r="M10" s="90">
        <v>45103</v>
      </c>
      <c r="N10" s="91">
        <v>2364.62</v>
      </c>
      <c r="O10" s="91">
        <v>8486.1200000000008</v>
      </c>
      <c r="P10" s="91">
        <f t="shared" si="0"/>
        <v>10850.740000000002</v>
      </c>
      <c r="Q10" s="77">
        <v>0</v>
      </c>
      <c r="R10" s="91">
        <v>0</v>
      </c>
      <c r="S10" s="77">
        <v>0</v>
      </c>
      <c r="T10" s="91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7"/>
    </row>
    <row r="11" spans="1:24" s="92" customFormat="1" ht="15">
      <c r="A11" s="322" t="s">
        <v>231</v>
      </c>
      <c r="B11" s="322" t="s">
        <v>711</v>
      </c>
      <c r="C11" s="322" t="s">
        <v>715</v>
      </c>
      <c r="D11" s="47">
        <v>0</v>
      </c>
      <c r="E11" s="322" t="s">
        <v>713</v>
      </c>
      <c r="F11" s="322" t="s">
        <v>714</v>
      </c>
      <c r="G11" s="322" t="s">
        <v>36</v>
      </c>
      <c r="H11" s="322" t="s">
        <v>39</v>
      </c>
      <c r="I11" s="322" t="s">
        <v>40</v>
      </c>
      <c r="J11" s="322" t="s">
        <v>37</v>
      </c>
      <c r="K11" s="322" t="s">
        <v>38</v>
      </c>
      <c r="L11" s="90">
        <v>45103</v>
      </c>
      <c r="M11" s="90">
        <v>45103</v>
      </c>
      <c r="N11" s="91">
        <v>2364.62</v>
      </c>
      <c r="O11" s="91">
        <v>8486.1200000000008</v>
      </c>
      <c r="P11" s="91">
        <f t="shared" si="0"/>
        <v>10850.740000000002</v>
      </c>
      <c r="Q11" s="77">
        <v>0</v>
      </c>
      <c r="R11" s="91">
        <v>0</v>
      </c>
      <c r="S11" s="77">
        <v>0</v>
      </c>
      <c r="T11" s="91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7"/>
    </row>
    <row r="12" spans="1:24" s="92" customFormat="1" ht="15">
      <c r="A12" s="322" t="s">
        <v>231</v>
      </c>
      <c r="B12" s="322" t="s">
        <v>231</v>
      </c>
      <c r="C12" s="322" t="s">
        <v>704</v>
      </c>
      <c r="D12" s="47">
        <v>0</v>
      </c>
      <c r="E12" s="322" t="s">
        <v>562</v>
      </c>
      <c r="F12" s="322" t="s">
        <v>716</v>
      </c>
      <c r="G12" s="322" t="s">
        <v>36</v>
      </c>
      <c r="H12" s="322" t="s">
        <v>37</v>
      </c>
      <c r="I12" s="322" t="s">
        <v>38</v>
      </c>
      <c r="J12" s="322" t="s">
        <v>62</v>
      </c>
      <c r="K12" s="322" t="s">
        <v>63</v>
      </c>
      <c r="L12" s="90">
        <v>45105</v>
      </c>
      <c r="M12" s="90">
        <v>45107</v>
      </c>
      <c r="N12" s="91">
        <f>857.63/2</f>
        <v>428.815</v>
      </c>
      <c r="O12" s="91">
        <f>857.63/2</f>
        <v>428.815</v>
      </c>
      <c r="P12" s="91">
        <f t="shared" si="0"/>
        <v>857.63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7"/>
    </row>
    <row r="13" spans="1:24" s="92" customFormat="1" ht="15">
      <c r="A13" s="322" t="s">
        <v>231</v>
      </c>
      <c r="B13" s="322" t="s">
        <v>462</v>
      </c>
      <c r="C13" s="322" t="s">
        <v>401</v>
      </c>
      <c r="D13" s="47">
        <v>349</v>
      </c>
      <c r="E13" s="322" t="s">
        <v>403</v>
      </c>
      <c r="F13" s="322" t="s">
        <v>717</v>
      </c>
      <c r="G13" s="322" t="s">
        <v>36</v>
      </c>
      <c r="H13" s="322" t="s">
        <v>37</v>
      </c>
      <c r="I13" s="322" t="s">
        <v>38</v>
      </c>
      <c r="J13" s="322" t="s">
        <v>464</v>
      </c>
      <c r="K13" s="322" t="s">
        <v>425</v>
      </c>
      <c r="L13" s="90">
        <v>45076</v>
      </c>
      <c r="M13" s="90">
        <v>45079</v>
      </c>
      <c r="N13" s="91">
        <f>2382.9/2</f>
        <v>1191.45</v>
      </c>
      <c r="O13" s="91">
        <f>2382.9/2</f>
        <v>1191.45</v>
      </c>
      <c r="P13" s="91">
        <f t="shared" si="0"/>
        <v>2382.9</v>
      </c>
      <c r="Q13" s="77">
        <v>4</v>
      </c>
      <c r="R13" s="91">
        <v>120</v>
      </c>
      <c r="S13" s="77">
        <v>0</v>
      </c>
      <c r="T13" s="91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7"/>
    </row>
    <row r="14" spans="1:24" s="92" customFormat="1" ht="45">
      <c r="A14" s="322" t="s">
        <v>253</v>
      </c>
      <c r="B14" s="322" t="s">
        <v>259</v>
      </c>
      <c r="C14" s="322" t="s">
        <v>613</v>
      </c>
      <c r="D14" s="47">
        <v>372</v>
      </c>
      <c r="E14" s="323" t="s">
        <v>191</v>
      </c>
      <c r="F14" s="322" t="s">
        <v>718</v>
      </c>
      <c r="G14" s="322" t="s">
        <v>36</v>
      </c>
      <c r="H14" s="322" t="s">
        <v>37</v>
      </c>
      <c r="I14" s="322" t="s">
        <v>38</v>
      </c>
      <c r="J14" s="322" t="s">
        <v>37</v>
      </c>
      <c r="K14" s="322" t="s">
        <v>391</v>
      </c>
      <c r="L14" s="90">
        <v>45076</v>
      </c>
      <c r="M14" s="90">
        <v>45078</v>
      </c>
      <c r="N14" s="91">
        <f>5019.13/2</f>
        <v>2509.5650000000001</v>
      </c>
      <c r="O14" s="91">
        <f>5019.13/2</f>
        <v>2509.5650000000001</v>
      </c>
      <c r="P14" s="91">
        <f t="shared" si="0"/>
        <v>5019.13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7"/>
    </row>
    <row r="15" spans="1:24" s="92" customFormat="1" ht="15">
      <c r="A15" s="322" t="s">
        <v>231</v>
      </c>
      <c r="B15" s="322" t="s">
        <v>231</v>
      </c>
      <c r="C15" s="322" t="s">
        <v>704</v>
      </c>
      <c r="D15" s="47">
        <v>0</v>
      </c>
      <c r="E15" s="322" t="s">
        <v>562</v>
      </c>
      <c r="F15" s="322" t="s">
        <v>719</v>
      </c>
      <c r="G15" s="322" t="s">
        <v>36</v>
      </c>
      <c r="H15" s="322" t="s">
        <v>37</v>
      </c>
      <c r="I15" s="322" t="s">
        <v>38</v>
      </c>
      <c r="J15" s="322" t="s">
        <v>62</v>
      </c>
      <c r="K15" s="322" t="s">
        <v>63</v>
      </c>
      <c r="L15" s="90">
        <v>45077</v>
      </c>
      <c r="M15" s="90">
        <v>45078</v>
      </c>
      <c r="N15" s="91">
        <f>(5331.47+0.47)/2</f>
        <v>2665.9700000000003</v>
      </c>
      <c r="O15" s="91">
        <f>(5331.47+0.47)/2</f>
        <v>2665.9700000000003</v>
      </c>
      <c r="P15" s="91">
        <f t="shared" si="0"/>
        <v>5331.9400000000005</v>
      </c>
      <c r="Q15" s="77">
        <v>0</v>
      </c>
      <c r="R15" s="91">
        <v>0</v>
      </c>
      <c r="S15" s="77">
        <v>0</v>
      </c>
      <c r="T15" s="91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7" t="s">
        <v>371</v>
      </c>
      <c r="B5" s="327" t="s">
        <v>371</v>
      </c>
      <c r="C5" s="327" t="s">
        <v>79</v>
      </c>
      <c r="D5" s="327">
        <v>0</v>
      </c>
      <c r="E5" s="327" t="s">
        <v>80</v>
      </c>
      <c r="F5" s="327" t="s">
        <v>720</v>
      </c>
      <c r="G5" s="327" t="s">
        <v>36</v>
      </c>
      <c r="H5" s="322" t="s">
        <v>116</v>
      </c>
      <c r="I5" s="322" t="s">
        <v>117</v>
      </c>
      <c r="J5" s="322" t="s">
        <v>39</v>
      </c>
      <c r="K5" s="322" t="s">
        <v>40</v>
      </c>
      <c r="L5" s="254">
        <v>45110</v>
      </c>
      <c r="M5" s="254">
        <v>45111</v>
      </c>
      <c r="N5" s="252">
        <f>3242.09/2</f>
        <v>1621.0450000000001</v>
      </c>
      <c r="O5" s="252">
        <f>3242.09/2</f>
        <v>1621.0450000000001</v>
      </c>
      <c r="P5" s="252">
        <f t="shared" ref="P5:P13" si="0">SUM(N5:O5)</f>
        <v>3242.09</v>
      </c>
      <c r="Q5" s="327">
        <v>0</v>
      </c>
      <c r="R5" s="327">
        <v>0</v>
      </c>
      <c r="S5" s="327">
        <v>0</v>
      </c>
      <c r="T5" s="327">
        <v>0</v>
      </c>
      <c r="U5" s="327">
        <f t="shared" ref="U5:U15" si="1">Q5*R5+S5*T5</f>
        <v>0</v>
      </c>
      <c r="V5" s="247">
        <f t="shared" ref="V5:V13" si="2">P5+U5</f>
        <v>3242.09</v>
      </c>
      <c r="W5" s="247">
        <f t="shared" ref="W5:W13" si="3">V5</f>
        <v>3242.09</v>
      </c>
      <c r="X5" s="327"/>
    </row>
    <row r="6" spans="1:24" s="92" customFormat="1" ht="15">
      <c r="A6" s="328"/>
      <c r="B6" s="328"/>
      <c r="C6" s="328"/>
      <c r="D6" s="328"/>
      <c r="E6" s="328"/>
      <c r="F6" s="328"/>
      <c r="G6" s="328"/>
      <c r="H6" s="322" t="s">
        <v>39</v>
      </c>
      <c r="I6" s="322" t="s">
        <v>40</v>
      </c>
      <c r="J6" s="322" t="s">
        <v>37</v>
      </c>
      <c r="K6" s="322" t="s">
        <v>38</v>
      </c>
      <c r="L6" s="255"/>
      <c r="M6" s="255"/>
      <c r="N6" s="253"/>
      <c r="O6" s="253"/>
      <c r="P6" s="253"/>
      <c r="Q6" s="328"/>
      <c r="R6" s="328"/>
      <c r="S6" s="328"/>
      <c r="T6" s="328"/>
      <c r="U6" s="328"/>
      <c r="V6" s="248"/>
      <c r="W6" s="248"/>
      <c r="X6" s="328"/>
    </row>
    <row r="7" spans="1:24" s="92" customFormat="1" ht="15">
      <c r="A7" s="322" t="s">
        <v>371</v>
      </c>
      <c r="B7" s="322" t="s">
        <v>371</v>
      </c>
      <c r="C7" s="322" t="s">
        <v>137</v>
      </c>
      <c r="D7" s="47">
        <v>202</v>
      </c>
      <c r="E7" s="322" t="s">
        <v>700</v>
      </c>
      <c r="F7" s="322" t="s">
        <v>720</v>
      </c>
      <c r="G7" s="322" t="s">
        <v>36</v>
      </c>
      <c r="H7" s="322" t="s">
        <v>37</v>
      </c>
      <c r="I7" s="322" t="s">
        <v>38</v>
      </c>
      <c r="J7" s="322" t="s">
        <v>39</v>
      </c>
      <c r="K7" s="322" t="s">
        <v>40</v>
      </c>
      <c r="L7" s="90">
        <v>45110</v>
      </c>
      <c r="M7" s="90">
        <v>45111</v>
      </c>
      <c r="N7" s="95">
        <f>5098.83/2</f>
        <v>2549.415</v>
      </c>
      <c r="O7" s="95">
        <f>5098.83/2</f>
        <v>2549.415</v>
      </c>
      <c r="P7" s="95">
        <f t="shared" si="0"/>
        <v>5098.83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7"/>
    </row>
    <row r="8" spans="1:24" s="92" customFormat="1" ht="15">
      <c r="A8" s="322" t="s">
        <v>371</v>
      </c>
      <c r="B8" s="322" t="s">
        <v>240</v>
      </c>
      <c r="C8" s="322" t="s">
        <v>140</v>
      </c>
      <c r="D8" s="47">
        <v>230</v>
      </c>
      <c r="E8" s="322" t="s">
        <v>709</v>
      </c>
      <c r="F8" s="322" t="s">
        <v>720</v>
      </c>
      <c r="G8" s="322" t="s">
        <v>36</v>
      </c>
      <c r="H8" s="322" t="s">
        <v>37</v>
      </c>
      <c r="I8" s="322" t="s">
        <v>38</v>
      </c>
      <c r="J8" s="322" t="s">
        <v>39</v>
      </c>
      <c r="K8" s="322" t="s">
        <v>40</v>
      </c>
      <c r="L8" s="90">
        <v>45110</v>
      </c>
      <c r="M8" s="90">
        <v>45111</v>
      </c>
      <c r="N8" s="95">
        <f>5098.83/2</f>
        <v>2549.415</v>
      </c>
      <c r="O8" s="95">
        <f>5098.83/2</f>
        <v>2549.415</v>
      </c>
      <c r="P8" s="95">
        <f t="shared" si="0"/>
        <v>5098.83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7"/>
    </row>
    <row r="9" spans="1:24" s="92" customFormat="1" ht="15">
      <c r="A9" s="322" t="s">
        <v>253</v>
      </c>
      <c r="B9" s="322" t="s">
        <v>212</v>
      </c>
      <c r="C9" s="322" t="s">
        <v>620</v>
      </c>
      <c r="D9" s="47">
        <v>365</v>
      </c>
      <c r="E9" s="322" t="s">
        <v>34</v>
      </c>
      <c r="F9" s="322" t="s">
        <v>721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391</v>
      </c>
      <c r="L9" s="90">
        <v>45134</v>
      </c>
      <c r="M9" s="90">
        <v>45134</v>
      </c>
      <c r="N9" s="95">
        <f>1555.13/2</f>
        <v>777.56500000000005</v>
      </c>
      <c r="O9" s="95">
        <f>1555.13/2</f>
        <v>777.56500000000005</v>
      </c>
      <c r="P9" s="95">
        <f t="shared" si="0"/>
        <v>1555.13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7"/>
    </row>
    <row r="10" spans="1:24" s="92" customFormat="1" ht="15">
      <c r="A10" s="322" t="s">
        <v>253</v>
      </c>
      <c r="B10" s="322" t="s">
        <v>212</v>
      </c>
      <c r="C10" s="322" t="s">
        <v>270</v>
      </c>
      <c r="D10" s="47" t="s">
        <v>168</v>
      </c>
      <c r="E10" s="322" t="s">
        <v>599</v>
      </c>
      <c r="F10" s="322" t="s">
        <v>721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391</v>
      </c>
      <c r="L10" s="90">
        <v>45134</v>
      </c>
      <c r="M10" s="90">
        <v>45134</v>
      </c>
      <c r="N10" s="95">
        <f>3264.36/2</f>
        <v>1632.18</v>
      </c>
      <c r="O10" s="95">
        <f>3264.36/2</f>
        <v>1632.18</v>
      </c>
      <c r="P10" s="95">
        <f t="shared" si="0"/>
        <v>3264.36</v>
      </c>
      <c r="Q10" s="77">
        <v>1</v>
      </c>
      <c r="R10" s="91">
        <v>120</v>
      </c>
      <c r="S10" s="77">
        <v>0</v>
      </c>
      <c r="T10" s="91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7"/>
    </row>
    <row r="11" spans="1:24" s="92" customFormat="1" ht="15">
      <c r="A11" s="322" t="s">
        <v>231</v>
      </c>
      <c r="B11" s="322" t="s">
        <v>231</v>
      </c>
      <c r="C11" s="322" t="s">
        <v>704</v>
      </c>
      <c r="D11" s="47">
        <v>0</v>
      </c>
      <c r="E11" s="322" t="s">
        <v>562</v>
      </c>
      <c r="F11" s="322" t="s">
        <v>722</v>
      </c>
      <c r="G11" s="322" t="s">
        <v>36</v>
      </c>
      <c r="H11" s="322" t="s">
        <v>37</v>
      </c>
      <c r="I11" s="322" t="s">
        <v>38</v>
      </c>
      <c r="J11" s="322" t="s">
        <v>464</v>
      </c>
      <c r="K11" s="322" t="s">
        <v>425</v>
      </c>
      <c r="L11" s="90">
        <v>45118</v>
      </c>
      <c r="M11" s="90">
        <v>45120</v>
      </c>
      <c r="N11" s="95">
        <v>1136.71</v>
      </c>
      <c r="O11" s="95">
        <v>1170.3800000000001</v>
      </c>
      <c r="P11" s="95">
        <f t="shared" si="0"/>
        <v>2307.09</v>
      </c>
      <c r="Q11" s="77">
        <v>0</v>
      </c>
      <c r="R11" s="91">
        <v>0</v>
      </c>
      <c r="S11" s="77">
        <v>0</v>
      </c>
      <c r="T11" s="91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7"/>
    </row>
    <row r="12" spans="1:24" s="92" customFormat="1" ht="30">
      <c r="A12" s="322" t="s">
        <v>231</v>
      </c>
      <c r="B12" s="322" t="s">
        <v>229</v>
      </c>
      <c r="C12" s="322" t="s">
        <v>653</v>
      </c>
      <c r="D12" s="47">
        <v>343</v>
      </c>
      <c r="E12" s="322" t="s">
        <v>723</v>
      </c>
      <c r="F12" s="323" t="s">
        <v>724</v>
      </c>
      <c r="G12" s="322" t="s">
        <v>36</v>
      </c>
      <c r="H12" s="322" t="s">
        <v>37</v>
      </c>
      <c r="I12" s="322" t="s">
        <v>38</v>
      </c>
      <c r="J12" s="322" t="s">
        <v>37</v>
      </c>
      <c r="K12" s="322" t="s">
        <v>261</v>
      </c>
      <c r="L12" s="90">
        <v>45138</v>
      </c>
      <c r="M12" s="90">
        <v>45139</v>
      </c>
      <c r="N12" s="95">
        <v>0</v>
      </c>
      <c r="O12" s="95">
        <v>0</v>
      </c>
      <c r="P12" s="95">
        <f t="shared" si="0"/>
        <v>0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7"/>
    </row>
    <row r="13" spans="1:24" s="92" customFormat="1" ht="15">
      <c r="A13" s="327" t="s">
        <v>231</v>
      </c>
      <c r="B13" s="327" t="s">
        <v>231</v>
      </c>
      <c r="C13" s="327" t="s">
        <v>704</v>
      </c>
      <c r="D13" s="327">
        <v>0</v>
      </c>
      <c r="E13" s="327" t="s">
        <v>562</v>
      </c>
      <c r="F13" s="327" t="s">
        <v>75</v>
      </c>
      <c r="G13" s="322" t="s">
        <v>36</v>
      </c>
      <c r="H13" s="322" t="s">
        <v>37</v>
      </c>
      <c r="I13" s="322" t="s">
        <v>38</v>
      </c>
      <c r="J13" s="322" t="s">
        <v>62</v>
      </c>
      <c r="K13" s="322" t="s">
        <v>63</v>
      </c>
      <c r="L13" s="331">
        <v>45138</v>
      </c>
      <c r="M13" s="331">
        <v>45142</v>
      </c>
      <c r="N13" s="252">
        <f>5571.04/3</f>
        <v>1857.0133333333333</v>
      </c>
      <c r="O13" s="252">
        <f>5571.04/3</f>
        <v>1857.0133333333333</v>
      </c>
      <c r="P13" s="252">
        <f t="shared" si="0"/>
        <v>3714.0266666666666</v>
      </c>
      <c r="Q13" s="327">
        <v>0</v>
      </c>
      <c r="R13" s="327">
        <v>0</v>
      </c>
      <c r="S13" s="327">
        <v>0</v>
      </c>
      <c r="T13" s="327">
        <v>0</v>
      </c>
      <c r="U13" s="327">
        <f t="shared" si="1"/>
        <v>0</v>
      </c>
      <c r="V13" s="247">
        <f t="shared" si="2"/>
        <v>3714.0266666666666</v>
      </c>
      <c r="W13" s="247">
        <f t="shared" si="3"/>
        <v>3714.0266666666666</v>
      </c>
      <c r="X13" s="327"/>
    </row>
    <row r="14" spans="1:24" s="92" customFormat="1" ht="15">
      <c r="A14" s="330"/>
      <c r="B14" s="330"/>
      <c r="C14" s="330"/>
      <c r="D14" s="330"/>
      <c r="E14" s="330"/>
      <c r="F14" s="330"/>
      <c r="G14" s="322" t="s">
        <v>36</v>
      </c>
      <c r="H14" s="322" t="s">
        <v>62</v>
      </c>
      <c r="I14" s="322" t="s">
        <v>63</v>
      </c>
      <c r="J14" s="322" t="s">
        <v>210</v>
      </c>
      <c r="K14" s="322" t="s">
        <v>725</v>
      </c>
      <c r="L14" s="330"/>
      <c r="M14" s="330"/>
      <c r="N14" s="259"/>
      <c r="O14" s="259"/>
      <c r="P14" s="259"/>
      <c r="Q14" s="330"/>
      <c r="R14" s="330"/>
      <c r="S14" s="330">
        <v>0</v>
      </c>
      <c r="T14" s="330">
        <v>0</v>
      </c>
      <c r="U14" s="330">
        <f t="shared" si="1"/>
        <v>0</v>
      </c>
      <c r="V14" s="264"/>
      <c r="W14" s="264"/>
      <c r="X14" s="330"/>
    </row>
    <row r="15" spans="1:24" s="92" customFormat="1" ht="15">
      <c r="A15" s="328"/>
      <c r="B15" s="328"/>
      <c r="C15" s="328"/>
      <c r="D15" s="328"/>
      <c r="E15" s="328"/>
      <c r="F15" s="328"/>
      <c r="G15" s="322" t="s">
        <v>36</v>
      </c>
      <c r="H15" s="322" t="s">
        <v>210</v>
      </c>
      <c r="I15" s="322" t="s">
        <v>725</v>
      </c>
      <c r="J15" s="322" t="s">
        <v>37</v>
      </c>
      <c r="K15" s="322" t="s">
        <v>38</v>
      </c>
      <c r="L15" s="328"/>
      <c r="M15" s="328"/>
      <c r="N15" s="253"/>
      <c r="O15" s="253"/>
      <c r="P15" s="253"/>
      <c r="Q15" s="328"/>
      <c r="R15" s="328"/>
      <c r="S15" s="328">
        <v>0</v>
      </c>
      <c r="T15" s="328">
        <v>0</v>
      </c>
      <c r="U15" s="328">
        <f t="shared" si="1"/>
        <v>0</v>
      </c>
      <c r="V15" s="248"/>
      <c r="W15" s="248"/>
      <c r="X15" s="328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43101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25.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371</v>
      </c>
      <c r="B5" s="322" t="s">
        <v>371</v>
      </c>
      <c r="C5" s="322" t="s">
        <v>137</v>
      </c>
      <c r="D5" s="47">
        <v>202</v>
      </c>
      <c r="E5" s="322" t="s">
        <v>700</v>
      </c>
      <c r="F5" s="322" t="s">
        <v>726</v>
      </c>
      <c r="G5" s="322" t="s">
        <v>36</v>
      </c>
      <c r="H5" s="322" t="s">
        <v>37</v>
      </c>
      <c r="I5" s="322" t="s">
        <v>38</v>
      </c>
      <c r="J5" s="322" t="s">
        <v>39</v>
      </c>
      <c r="K5" s="322" t="s">
        <v>40</v>
      </c>
      <c r="L5" s="90">
        <v>45145</v>
      </c>
      <c r="M5" s="90">
        <v>45146</v>
      </c>
      <c r="N5" s="95">
        <f>1736.83/2</f>
        <v>868.41499999999996</v>
      </c>
      <c r="O5" s="95">
        <f>1736.83/2</f>
        <v>868.41499999999996</v>
      </c>
      <c r="P5" s="95">
        <f t="shared" ref="P5:P18" si="0">SUM(N5:O5)</f>
        <v>1736.83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7"/>
    </row>
    <row r="6" spans="1:24" s="92" customFormat="1" ht="15">
      <c r="A6" s="322" t="s">
        <v>371</v>
      </c>
      <c r="B6" s="322" t="s">
        <v>240</v>
      </c>
      <c r="C6" s="322" t="s">
        <v>448</v>
      </c>
      <c r="D6" s="47">
        <v>336</v>
      </c>
      <c r="E6" s="322" t="s">
        <v>727</v>
      </c>
      <c r="F6" s="322" t="s">
        <v>726</v>
      </c>
      <c r="G6" s="322" t="s">
        <v>36</v>
      </c>
      <c r="H6" s="322" t="s">
        <v>37</v>
      </c>
      <c r="I6" s="322" t="s">
        <v>38</v>
      </c>
      <c r="J6" s="322" t="s">
        <v>39</v>
      </c>
      <c r="K6" s="322" t="s">
        <v>40</v>
      </c>
      <c r="L6" s="90">
        <v>45145</v>
      </c>
      <c r="M6" s="90">
        <v>45146</v>
      </c>
      <c r="N6" s="95">
        <f t="shared" ref="N6:O7" si="4">1736.83/2</f>
        <v>868.41499999999996</v>
      </c>
      <c r="O6" s="95">
        <f t="shared" si="4"/>
        <v>868.41499999999996</v>
      </c>
      <c r="P6" s="95">
        <f t="shared" si="0"/>
        <v>1736.83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7"/>
    </row>
    <row r="7" spans="1:24" s="92" customFormat="1" ht="15">
      <c r="A7" s="322" t="s">
        <v>371</v>
      </c>
      <c r="B7" s="322" t="s">
        <v>240</v>
      </c>
      <c r="C7" s="322" t="s">
        <v>140</v>
      </c>
      <c r="D7" s="47">
        <v>230</v>
      </c>
      <c r="E7" s="322" t="s">
        <v>709</v>
      </c>
      <c r="F7" s="322" t="s">
        <v>726</v>
      </c>
      <c r="G7" s="322" t="s">
        <v>36</v>
      </c>
      <c r="H7" s="322" t="s">
        <v>37</v>
      </c>
      <c r="I7" s="322" t="s">
        <v>38</v>
      </c>
      <c r="J7" s="322" t="s">
        <v>39</v>
      </c>
      <c r="K7" s="322" t="s">
        <v>40</v>
      </c>
      <c r="L7" s="90">
        <v>45145</v>
      </c>
      <c r="M7" s="90">
        <v>45146</v>
      </c>
      <c r="N7" s="95">
        <f t="shared" si="4"/>
        <v>868.41499999999996</v>
      </c>
      <c r="O7" s="95">
        <f t="shared" si="4"/>
        <v>868.41499999999996</v>
      </c>
      <c r="P7" s="95">
        <f t="shared" si="0"/>
        <v>1736.83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7"/>
    </row>
    <row r="8" spans="1:24" s="92" customFormat="1" ht="15">
      <c r="A8" s="322" t="s">
        <v>253</v>
      </c>
      <c r="B8" s="322" t="s">
        <v>253</v>
      </c>
      <c r="C8" s="322" t="s">
        <v>387</v>
      </c>
      <c r="D8" s="47">
        <v>0</v>
      </c>
      <c r="E8" s="322" t="s">
        <v>50</v>
      </c>
      <c r="F8" s="322" t="s">
        <v>728</v>
      </c>
      <c r="G8" s="322" t="s">
        <v>36</v>
      </c>
      <c r="H8" s="322" t="s">
        <v>37</v>
      </c>
      <c r="I8" s="322" t="s">
        <v>38</v>
      </c>
      <c r="J8" s="322" t="s">
        <v>39</v>
      </c>
      <c r="K8" s="322" t="s">
        <v>40</v>
      </c>
      <c r="L8" s="90">
        <v>45146</v>
      </c>
      <c r="M8" s="90">
        <v>45147</v>
      </c>
      <c r="N8" s="95">
        <f>1736.83/2</f>
        <v>868.41499999999996</v>
      </c>
      <c r="O8" s="95">
        <f>1736.83/2</f>
        <v>868.41499999999996</v>
      </c>
      <c r="P8" s="95">
        <f t="shared" si="0"/>
        <v>1736.83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7"/>
    </row>
    <row r="9" spans="1:24" s="92" customFormat="1" ht="15">
      <c r="A9" s="322" t="s">
        <v>253</v>
      </c>
      <c r="B9" s="322" t="s">
        <v>253</v>
      </c>
      <c r="C9" s="322" t="s">
        <v>675</v>
      </c>
      <c r="D9" s="47">
        <v>383</v>
      </c>
      <c r="E9" s="322" t="s">
        <v>698</v>
      </c>
      <c r="F9" s="322" t="s">
        <v>728</v>
      </c>
      <c r="G9" s="322" t="s">
        <v>36</v>
      </c>
      <c r="H9" s="322" t="s">
        <v>37</v>
      </c>
      <c r="I9" s="322" t="s">
        <v>38</v>
      </c>
      <c r="J9" s="322" t="s">
        <v>39</v>
      </c>
      <c r="K9" s="322" t="s">
        <v>40</v>
      </c>
      <c r="L9" s="90">
        <v>45146</v>
      </c>
      <c r="M9" s="90">
        <v>45147</v>
      </c>
      <c r="N9" s="95">
        <f>4101.45/2</f>
        <v>2050.7249999999999</v>
      </c>
      <c r="O9" s="95">
        <f>4101.45/2</f>
        <v>2050.7249999999999</v>
      </c>
      <c r="P9" s="95">
        <f t="shared" si="0"/>
        <v>4101.45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7"/>
    </row>
    <row r="10" spans="1:24" s="92" customFormat="1" ht="15">
      <c r="A10" s="322" t="s">
        <v>231</v>
      </c>
      <c r="B10" s="322" t="s">
        <v>229</v>
      </c>
      <c r="C10" s="322" t="s">
        <v>729</v>
      </c>
      <c r="D10" s="47">
        <v>387</v>
      </c>
      <c r="E10" s="322" t="s">
        <v>248</v>
      </c>
      <c r="F10" s="322" t="s">
        <v>730</v>
      </c>
      <c r="G10" s="322" t="s">
        <v>36</v>
      </c>
      <c r="H10" s="322" t="s">
        <v>37</v>
      </c>
      <c r="I10" s="322" t="s">
        <v>38</v>
      </c>
      <c r="J10" s="322" t="s">
        <v>127</v>
      </c>
      <c r="K10" s="322" t="s">
        <v>63</v>
      </c>
      <c r="L10" s="90">
        <v>45139</v>
      </c>
      <c r="M10" s="90">
        <v>45140</v>
      </c>
      <c r="N10" s="95">
        <f>2261.71/2</f>
        <v>1130.855</v>
      </c>
      <c r="O10" s="95">
        <f>2261.71/2</f>
        <v>1130.855</v>
      </c>
      <c r="P10" s="95">
        <f t="shared" si="0"/>
        <v>2261.71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7"/>
    </row>
    <row r="11" spans="1:24" s="92" customFormat="1" ht="15">
      <c r="A11" s="322" t="s">
        <v>231</v>
      </c>
      <c r="B11" s="322" t="s">
        <v>229</v>
      </c>
      <c r="C11" s="322" t="s">
        <v>731</v>
      </c>
      <c r="D11" s="47">
        <v>390</v>
      </c>
      <c r="E11" s="322" t="s">
        <v>120</v>
      </c>
      <c r="F11" s="322" t="s">
        <v>730</v>
      </c>
      <c r="G11" s="322" t="s">
        <v>36</v>
      </c>
      <c r="H11" s="322" t="s">
        <v>37</v>
      </c>
      <c r="I11" s="322" t="s">
        <v>38</v>
      </c>
      <c r="J11" s="322" t="s">
        <v>127</v>
      </c>
      <c r="K11" s="322" t="s">
        <v>63</v>
      </c>
      <c r="L11" s="90">
        <v>45139</v>
      </c>
      <c r="M11" s="90">
        <v>45140</v>
      </c>
      <c r="N11" s="95">
        <f>3504.47/2</f>
        <v>1752.2349999999999</v>
      </c>
      <c r="O11" s="95">
        <f>3504.47/2</f>
        <v>1752.2349999999999</v>
      </c>
      <c r="P11" s="95">
        <f t="shared" si="0"/>
        <v>3504.47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7"/>
    </row>
    <row r="12" spans="1:24" s="92" customFormat="1" ht="15">
      <c r="A12" s="322" t="s">
        <v>371</v>
      </c>
      <c r="B12" s="322" t="s">
        <v>371</v>
      </c>
      <c r="C12" s="322" t="s">
        <v>79</v>
      </c>
      <c r="D12" s="47">
        <v>0</v>
      </c>
      <c r="E12" s="322" t="s">
        <v>80</v>
      </c>
      <c r="F12" s="322" t="s">
        <v>728</v>
      </c>
      <c r="G12" s="322" t="s">
        <v>36</v>
      </c>
      <c r="H12" s="322" t="s">
        <v>116</v>
      </c>
      <c r="I12" s="322" t="s">
        <v>117</v>
      </c>
      <c r="J12" s="322" t="s">
        <v>39</v>
      </c>
      <c r="K12" s="322" t="s">
        <v>40</v>
      </c>
      <c r="L12" s="90">
        <v>45146</v>
      </c>
      <c r="M12" s="90">
        <v>45148</v>
      </c>
      <c r="N12" s="95">
        <f>2023.5/2</f>
        <v>1011.75</v>
      </c>
      <c r="O12" s="95">
        <f>2023.5/2</f>
        <v>1011.75</v>
      </c>
      <c r="P12" s="95">
        <f t="shared" si="0"/>
        <v>2023.5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7"/>
    </row>
    <row r="13" spans="1:24" s="92" customFormat="1" ht="15">
      <c r="A13" s="322" t="s">
        <v>253</v>
      </c>
      <c r="B13" s="322" t="s">
        <v>253</v>
      </c>
      <c r="C13" s="322" t="s">
        <v>387</v>
      </c>
      <c r="D13" s="47">
        <v>0</v>
      </c>
      <c r="E13" s="322" t="s">
        <v>50</v>
      </c>
      <c r="F13" s="322" t="s">
        <v>732</v>
      </c>
      <c r="G13" s="322" t="s">
        <v>36</v>
      </c>
      <c r="H13" s="322" t="s">
        <v>37</v>
      </c>
      <c r="I13" s="322" t="s">
        <v>38</v>
      </c>
      <c r="J13" s="322" t="s">
        <v>37</v>
      </c>
      <c r="K13" s="322" t="s">
        <v>733</v>
      </c>
      <c r="L13" s="90">
        <v>45155</v>
      </c>
      <c r="M13" s="90">
        <v>45156</v>
      </c>
      <c r="N13" s="95">
        <f>2404.66/2</f>
        <v>1202.33</v>
      </c>
      <c r="O13" s="95">
        <f>2404.66/2</f>
        <v>1202.33</v>
      </c>
      <c r="P13" s="95">
        <f t="shared" si="0"/>
        <v>2404.66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7"/>
    </row>
    <row r="14" spans="1:24" s="92" customFormat="1" ht="15">
      <c r="A14" s="322" t="s">
        <v>253</v>
      </c>
      <c r="B14" s="322" t="s">
        <v>253</v>
      </c>
      <c r="C14" s="322" t="s">
        <v>675</v>
      </c>
      <c r="D14" s="47">
        <v>383</v>
      </c>
      <c r="E14" s="322" t="s">
        <v>698</v>
      </c>
      <c r="F14" s="322" t="s">
        <v>732</v>
      </c>
      <c r="G14" s="322" t="s">
        <v>36</v>
      </c>
      <c r="H14" s="322" t="s">
        <v>37</v>
      </c>
      <c r="I14" s="322" t="s">
        <v>38</v>
      </c>
      <c r="J14" s="322" t="s">
        <v>37</v>
      </c>
      <c r="K14" s="322" t="s">
        <v>733</v>
      </c>
      <c r="L14" s="90">
        <v>45155</v>
      </c>
      <c r="M14" s="90">
        <v>45156</v>
      </c>
      <c r="N14" s="95">
        <f>2404.66/2</f>
        <v>1202.33</v>
      </c>
      <c r="O14" s="95">
        <f>2404.66/2</f>
        <v>1202.33</v>
      </c>
      <c r="P14" s="95">
        <f t="shared" si="0"/>
        <v>2404.66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7"/>
    </row>
    <row r="15" spans="1:24" s="92" customFormat="1" ht="15">
      <c r="A15" s="322" t="s">
        <v>253</v>
      </c>
      <c r="B15" s="322" t="s">
        <v>212</v>
      </c>
      <c r="C15" s="322" t="s">
        <v>620</v>
      </c>
      <c r="D15" s="47">
        <v>365</v>
      </c>
      <c r="E15" s="322" t="s">
        <v>34</v>
      </c>
      <c r="F15" s="322" t="s">
        <v>734</v>
      </c>
      <c r="G15" s="322" t="s">
        <v>36</v>
      </c>
      <c r="H15" s="322" t="s">
        <v>37</v>
      </c>
      <c r="I15" s="322" t="s">
        <v>38</v>
      </c>
      <c r="J15" s="322" t="s">
        <v>37</v>
      </c>
      <c r="K15" s="322" t="s">
        <v>391</v>
      </c>
      <c r="L15" s="90">
        <v>45152</v>
      </c>
      <c r="M15" s="90">
        <v>45152</v>
      </c>
      <c r="N15" s="95">
        <f>1248.3/2</f>
        <v>624.15</v>
      </c>
      <c r="O15" s="95">
        <f>1248.3/2</f>
        <v>624.15</v>
      </c>
      <c r="P15" s="95">
        <f t="shared" si="0"/>
        <v>1248.3</v>
      </c>
      <c r="Q15" s="77">
        <v>1</v>
      </c>
      <c r="R15" s="91">
        <v>120</v>
      </c>
      <c r="S15" s="77">
        <v>0</v>
      </c>
      <c r="T15" s="91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7"/>
    </row>
    <row r="16" spans="1:24" s="92" customFormat="1" ht="15">
      <c r="A16" s="322" t="s">
        <v>253</v>
      </c>
      <c r="B16" s="322" t="s">
        <v>212</v>
      </c>
      <c r="C16" s="322" t="s">
        <v>270</v>
      </c>
      <c r="D16" s="47" t="s">
        <v>168</v>
      </c>
      <c r="E16" s="322" t="s">
        <v>599</v>
      </c>
      <c r="F16" s="322" t="s">
        <v>734</v>
      </c>
      <c r="G16" s="322" t="s">
        <v>36</v>
      </c>
      <c r="H16" s="322" t="s">
        <v>37</v>
      </c>
      <c r="I16" s="322" t="s">
        <v>38</v>
      </c>
      <c r="J16" s="322" t="s">
        <v>37</v>
      </c>
      <c r="K16" s="322" t="s">
        <v>391</v>
      </c>
      <c r="L16" s="90">
        <v>45152</v>
      </c>
      <c r="M16" s="90">
        <v>45152</v>
      </c>
      <c r="N16" s="95">
        <f>1248.3/2</f>
        <v>624.15</v>
      </c>
      <c r="O16" s="95">
        <f>1248.3/2</f>
        <v>624.15</v>
      </c>
      <c r="P16" s="95">
        <f t="shared" si="0"/>
        <v>1248.3</v>
      </c>
      <c r="Q16" s="77">
        <v>1</v>
      </c>
      <c r="R16" s="91">
        <v>120</v>
      </c>
      <c r="S16" s="77">
        <v>0</v>
      </c>
      <c r="T16" s="91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7"/>
    </row>
    <row r="17" spans="1:24" s="92" customFormat="1" ht="15">
      <c r="A17" s="322" t="s">
        <v>231</v>
      </c>
      <c r="B17" s="322" t="s">
        <v>221</v>
      </c>
      <c r="C17" s="322" t="s">
        <v>54</v>
      </c>
      <c r="D17" s="47">
        <v>56</v>
      </c>
      <c r="E17" s="322" t="s">
        <v>610</v>
      </c>
      <c r="F17" s="322" t="s">
        <v>735</v>
      </c>
      <c r="G17" s="322" t="s">
        <v>36</v>
      </c>
      <c r="H17" s="322" t="s">
        <v>37</v>
      </c>
      <c r="I17" s="322" t="s">
        <v>38</v>
      </c>
      <c r="J17" s="322" t="s">
        <v>39</v>
      </c>
      <c r="K17" s="322" t="s">
        <v>40</v>
      </c>
      <c r="L17" s="90">
        <v>45161</v>
      </c>
      <c r="M17" s="90">
        <v>45162</v>
      </c>
      <c r="N17" s="95">
        <f>3442.83/2</f>
        <v>1721.415</v>
      </c>
      <c r="O17" s="95">
        <f>3442.83/2</f>
        <v>1721.415</v>
      </c>
      <c r="P17" s="95">
        <f t="shared" si="0"/>
        <v>3442.83</v>
      </c>
      <c r="Q17" s="77">
        <v>0</v>
      </c>
      <c r="R17" s="91">
        <v>120</v>
      </c>
      <c r="S17" s="77">
        <v>0</v>
      </c>
      <c r="T17" s="91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7"/>
    </row>
    <row r="18" spans="1:24" s="92" customFormat="1" ht="15">
      <c r="A18" s="322" t="s">
        <v>253</v>
      </c>
      <c r="B18" s="322" t="s">
        <v>253</v>
      </c>
      <c r="C18" s="322" t="s">
        <v>387</v>
      </c>
      <c r="D18" s="47">
        <v>0</v>
      </c>
      <c r="E18" s="322" t="s">
        <v>50</v>
      </c>
      <c r="F18" s="322" t="s">
        <v>735</v>
      </c>
      <c r="G18" s="322" t="s">
        <v>36</v>
      </c>
      <c r="H18" s="322" t="s">
        <v>37</v>
      </c>
      <c r="I18" s="322" t="s">
        <v>38</v>
      </c>
      <c r="J18" s="322" t="s">
        <v>39</v>
      </c>
      <c r="K18" s="322" t="s">
        <v>40</v>
      </c>
      <c r="L18" s="90">
        <v>45161</v>
      </c>
      <c r="M18" s="90">
        <v>45162</v>
      </c>
      <c r="N18" s="95">
        <f>3442.83/2</f>
        <v>1721.415</v>
      </c>
      <c r="O18" s="95">
        <f>3442.83/2</f>
        <v>1721.415</v>
      </c>
      <c r="P18" s="95">
        <f t="shared" si="0"/>
        <v>3442.83</v>
      </c>
      <c r="Q18" s="77">
        <v>0</v>
      </c>
      <c r="R18" s="91">
        <v>120</v>
      </c>
      <c r="S18" s="77">
        <v>0</v>
      </c>
      <c r="T18" s="91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371</v>
      </c>
      <c r="B5" s="332" t="s">
        <v>240</v>
      </c>
      <c r="C5" s="322" t="s">
        <v>448</v>
      </c>
      <c r="D5" s="47">
        <v>336</v>
      </c>
      <c r="E5" s="322" t="s">
        <v>727</v>
      </c>
      <c r="F5" s="322" t="s">
        <v>736</v>
      </c>
      <c r="G5" s="322" t="s">
        <v>36</v>
      </c>
      <c r="H5" s="322" t="s">
        <v>37</v>
      </c>
      <c r="I5" s="322" t="s">
        <v>38</v>
      </c>
      <c r="J5" s="322" t="s">
        <v>199</v>
      </c>
      <c r="K5" s="322" t="s">
        <v>200</v>
      </c>
      <c r="L5" s="90">
        <v>45194</v>
      </c>
      <c r="M5" s="90">
        <v>45197</v>
      </c>
      <c r="N5" s="95">
        <f>4105.03/2</f>
        <v>2052.5149999999999</v>
      </c>
      <c r="O5" s="95">
        <f>4105.03/2</f>
        <v>2052.5149999999999</v>
      </c>
      <c r="P5" s="95">
        <f t="shared" ref="P5:P24" si="0">SUM(N5:O5)</f>
        <v>4105.03</v>
      </c>
      <c r="Q5" s="77">
        <v>4</v>
      </c>
      <c r="R5" s="91">
        <v>120</v>
      </c>
      <c r="S5" s="77">
        <v>0</v>
      </c>
      <c r="T5" s="91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7"/>
    </row>
    <row r="6" spans="1:24" s="92" customFormat="1" ht="15">
      <c r="A6" s="322" t="s">
        <v>371</v>
      </c>
      <c r="B6" s="332" t="s">
        <v>240</v>
      </c>
      <c r="C6" s="322" t="s">
        <v>737</v>
      </c>
      <c r="D6" s="47">
        <v>361</v>
      </c>
      <c r="E6" s="322" t="s">
        <v>60</v>
      </c>
      <c r="F6" s="322" t="s">
        <v>736</v>
      </c>
      <c r="G6" s="322" t="s">
        <v>36</v>
      </c>
      <c r="H6" s="322" t="s">
        <v>37</v>
      </c>
      <c r="I6" s="322" t="s">
        <v>38</v>
      </c>
      <c r="J6" s="322" t="s">
        <v>199</v>
      </c>
      <c r="K6" s="322" t="s">
        <v>200</v>
      </c>
      <c r="L6" s="90">
        <v>45194</v>
      </c>
      <c r="M6" s="90">
        <v>45197</v>
      </c>
      <c r="N6" s="95">
        <f>4105.03/2</f>
        <v>2052.5149999999999</v>
      </c>
      <c r="O6" s="95">
        <f>4105.03/2</f>
        <v>2052.5149999999999</v>
      </c>
      <c r="P6" s="95">
        <f t="shared" si="0"/>
        <v>4105.03</v>
      </c>
      <c r="Q6" s="77">
        <v>4</v>
      </c>
      <c r="R6" s="91">
        <v>12</v>
      </c>
      <c r="S6" s="77">
        <v>0</v>
      </c>
      <c r="T6" s="91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7"/>
    </row>
    <row r="7" spans="1:24" s="92" customFormat="1" ht="15">
      <c r="A7" s="322" t="s">
        <v>253</v>
      </c>
      <c r="B7" s="322" t="s">
        <v>253</v>
      </c>
      <c r="C7" s="322" t="s">
        <v>387</v>
      </c>
      <c r="D7" s="47">
        <v>0</v>
      </c>
      <c r="E7" s="322" t="s">
        <v>50</v>
      </c>
      <c r="F7" s="322" t="s">
        <v>738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90">
        <v>45181</v>
      </c>
      <c r="M7" s="90">
        <v>45184</v>
      </c>
      <c r="N7" s="95">
        <f>1429/2</f>
        <v>714.5</v>
      </c>
      <c r="O7" s="95">
        <f>1429/2</f>
        <v>714.5</v>
      </c>
      <c r="P7" s="95">
        <f t="shared" si="0"/>
        <v>1429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7"/>
    </row>
    <row r="8" spans="1:24" s="92" customFormat="1" ht="15">
      <c r="A8" s="322" t="s">
        <v>253</v>
      </c>
      <c r="B8" s="322" t="s">
        <v>253</v>
      </c>
      <c r="C8" s="322" t="s">
        <v>675</v>
      </c>
      <c r="D8" s="47">
        <v>383</v>
      </c>
      <c r="E8" s="322" t="s">
        <v>698</v>
      </c>
      <c r="F8" s="322" t="s">
        <v>738</v>
      </c>
      <c r="G8" s="322" t="s">
        <v>36</v>
      </c>
      <c r="H8" s="322" t="s">
        <v>37</v>
      </c>
      <c r="I8" s="322" t="s">
        <v>38</v>
      </c>
      <c r="J8" s="322" t="s">
        <v>37</v>
      </c>
      <c r="K8" s="322" t="s">
        <v>391</v>
      </c>
      <c r="L8" s="90">
        <v>45181</v>
      </c>
      <c r="M8" s="90">
        <v>45184</v>
      </c>
      <c r="N8" s="95">
        <f>1478.4/2</f>
        <v>739.2</v>
      </c>
      <c r="O8" s="95">
        <f>1478.4/2</f>
        <v>739.2</v>
      </c>
      <c r="P8" s="95">
        <f t="shared" si="0"/>
        <v>1478.4</v>
      </c>
      <c r="Q8" s="77">
        <v>4</v>
      </c>
      <c r="R8" s="91">
        <v>120</v>
      </c>
      <c r="S8" s="77">
        <v>0</v>
      </c>
      <c r="T8" s="91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7"/>
    </row>
    <row r="9" spans="1:24" s="92" customFormat="1" ht="15">
      <c r="A9" s="322" t="s">
        <v>231</v>
      </c>
      <c r="B9" s="322" t="s">
        <v>231</v>
      </c>
      <c r="C9" s="322" t="s">
        <v>704</v>
      </c>
      <c r="D9" s="47">
        <v>0</v>
      </c>
      <c r="E9" s="322" t="s">
        <v>562</v>
      </c>
      <c r="F9" s="322" t="s">
        <v>738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391</v>
      </c>
      <c r="L9" s="90">
        <v>45181</v>
      </c>
      <c r="M9" s="90">
        <v>45184</v>
      </c>
      <c r="N9" s="95">
        <v>2248.3000000000002</v>
      </c>
      <c r="O9" s="95">
        <v>1000</v>
      </c>
      <c r="P9" s="95">
        <f t="shared" si="0"/>
        <v>3248.3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7"/>
    </row>
    <row r="10" spans="1:24" s="92" customFormat="1" ht="15">
      <c r="A10" s="322" t="s">
        <v>231</v>
      </c>
      <c r="B10" s="322" t="s">
        <v>241</v>
      </c>
      <c r="C10" s="322" t="s">
        <v>701</v>
      </c>
      <c r="D10" s="47">
        <v>394</v>
      </c>
      <c r="E10" s="322" t="s">
        <v>702</v>
      </c>
      <c r="F10" s="322" t="s">
        <v>738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391</v>
      </c>
      <c r="L10" s="90">
        <v>45181</v>
      </c>
      <c r="M10" s="90">
        <v>45184</v>
      </c>
      <c r="N10" s="95">
        <f>1292.4/2</f>
        <v>646.20000000000005</v>
      </c>
      <c r="O10" s="95">
        <f>1292.4/2</f>
        <v>646.20000000000005</v>
      </c>
      <c r="P10" s="95">
        <f t="shared" si="0"/>
        <v>1292.4000000000001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7"/>
    </row>
    <row r="11" spans="1:24" s="92" customFormat="1" ht="15">
      <c r="A11" s="322" t="s">
        <v>231</v>
      </c>
      <c r="B11" s="322" t="s">
        <v>229</v>
      </c>
      <c r="C11" s="322" t="s">
        <v>731</v>
      </c>
      <c r="D11" s="47">
        <v>390</v>
      </c>
      <c r="E11" s="322" t="s">
        <v>120</v>
      </c>
      <c r="F11" s="322" t="s">
        <v>738</v>
      </c>
      <c r="G11" s="322" t="s">
        <v>36</v>
      </c>
      <c r="H11" s="322" t="s">
        <v>37</v>
      </c>
      <c r="I11" s="322" t="s">
        <v>38</v>
      </c>
      <c r="J11" s="322" t="s">
        <v>37</v>
      </c>
      <c r="K11" s="322" t="s">
        <v>391</v>
      </c>
      <c r="L11" s="90">
        <v>45181</v>
      </c>
      <c r="M11" s="90">
        <v>45184</v>
      </c>
      <c r="N11" s="95">
        <f>1292.4/2</f>
        <v>646.20000000000005</v>
      </c>
      <c r="O11" s="95">
        <f>1292.4/2</f>
        <v>646.20000000000005</v>
      </c>
      <c r="P11" s="95">
        <f t="shared" si="0"/>
        <v>1292.4000000000001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7"/>
    </row>
    <row r="12" spans="1:24" s="92" customFormat="1" ht="15">
      <c r="A12" s="322" t="s">
        <v>253</v>
      </c>
      <c r="B12" s="322" t="s">
        <v>253</v>
      </c>
      <c r="C12" s="322" t="s">
        <v>387</v>
      </c>
      <c r="D12" s="47">
        <v>0</v>
      </c>
      <c r="E12" s="322" t="s">
        <v>50</v>
      </c>
      <c r="F12" s="322" t="s">
        <v>739</v>
      </c>
      <c r="G12" s="322" t="s">
        <v>36</v>
      </c>
      <c r="H12" s="322" t="s">
        <v>37</v>
      </c>
      <c r="I12" s="322" t="s">
        <v>38</v>
      </c>
      <c r="J12" s="322" t="s">
        <v>39</v>
      </c>
      <c r="K12" s="322" t="s">
        <v>40</v>
      </c>
      <c r="L12" s="90">
        <v>45187</v>
      </c>
      <c r="M12" s="90">
        <v>45188</v>
      </c>
      <c r="N12" s="95">
        <f>1582.83/2</f>
        <v>791.41499999999996</v>
      </c>
      <c r="O12" s="95">
        <f>1582.83/2</f>
        <v>791.41499999999996</v>
      </c>
      <c r="P12" s="95">
        <f t="shared" si="0"/>
        <v>1582.83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7"/>
    </row>
    <row r="13" spans="1:24" s="92" customFormat="1" ht="15">
      <c r="A13" s="322" t="s">
        <v>253</v>
      </c>
      <c r="B13" s="322" t="s">
        <v>212</v>
      </c>
      <c r="C13" s="322" t="s">
        <v>404</v>
      </c>
      <c r="D13" s="47">
        <v>345</v>
      </c>
      <c r="E13" s="322" t="s">
        <v>406</v>
      </c>
      <c r="F13" s="322" t="s">
        <v>739</v>
      </c>
      <c r="G13" s="322" t="s">
        <v>36</v>
      </c>
      <c r="H13" s="322" t="s">
        <v>37</v>
      </c>
      <c r="I13" s="322" t="s">
        <v>38</v>
      </c>
      <c r="J13" s="322" t="s">
        <v>39</v>
      </c>
      <c r="K13" s="322" t="s">
        <v>40</v>
      </c>
      <c r="L13" s="90">
        <v>45187</v>
      </c>
      <c r="M13" s="90">
        <v>45188</v>
      </c>
      <c r="N13" s="95">
        <f>1758.83/2</f>
        <v>879.41499999999996</v>
      </c>
      <c r="O13" s="95">
        <f>1758.83/2</f>
        <v>879.41499999999996</v>
      </c>
      <c r="P13" s="95">
        <f t="shared" si="0"/>
        <v>1758.83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7"/>
    </row>
    <row r="14" spans="1:24" s="92" customFormat="1" ht="15">
      <c r="A14" s="322" t="s">
        <v>253</v>
      </c>
      <c r="B14" s="322" t="s">
        <v>322</v>
      </c>
      <c r="C14" s="322" t="s">
        <v>323</v>
      </c>
      <c r="D14" s="47">
        <v>204</v>
      </c>
      <c r="E14" s="322" t="s">
        <v>652</v>
      </c>
      <c r="F14" s="322" t="s">
        <v>740</v>
      </c>
      <c r="G14" s="322" t="s">
        <v>36</v>
      </c>
      <c r="H14" s="322" t="s">
        <v>37</v>
      </c>
      <c r="I14" s="322" t="s">
        <v>38</v>
      </c>
      <c r="J14" s="322" t="s">
        <v>62</v>
      </c>
      <c r="K14" s="322" t="s">
        <v>414</v>
      </c>
      <c r="L14" s="90">
        <v>45188</v>
      </c>
      <c r="M14" s="90">
        <v>45189</v>
      </c>
      <c r="N14" s="95">
        <f>1507.43/2</f>
        <v>753.71500000000003</v>
      </c>
      <c r="O14" s="95">
        <f>1507.43/2</f>
        <v>753.71500000000003</v>
      </c>
      <c r="P14" s="95">
        <f t="shared" si="0"/>
        <v>1507.43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7"/>
    </row>
    <row r="15" spans="1:24" s="92" customFormat="1" ht="15">
      <c r="A15" s="322" t="s">
        <v>371</v>
      </c>
      <c r="B15" s="322" t="s">
        <v>371</v>
      </c>
      <c r="C15" s="322" t="s">
        <v>137</v>
      </c>
      <c r="D15" s="47">
        <v>202</v>
      </c>
      <c r="E15" s="322" t="s">
        <v>700</v>
      </c>
      <c r="F15" s="322" t="s">
        <v>741</v>
      </c>
      <c r="G15" s="322" t="s">
        <v>36</v>
      </c>
      <c r="H15" s="322" t="s">
        <v>37</v>
      </c>
      <c r="I15" s="322" t="s">
        <v>38</v>
      </c>
      <c r="J15" s="322" t="s">
        <v>39</v>
      </c>
      <c r="K15" s="322" t="s">
        <v>40</v>
      </c>
      <c r="L15" s="90">
        <v>45181</v>
      </c>
      <c r="M15" s="90">
        <v>45182</v>
      </c>
      <c r="N15" s="95">
        <f>3435.31/2</f>
        <v>1717.655</v>
      </c>
      <c r="O15" s="95">
        <f>3435.31/2</f>
        <v>1717.655</v>
      </c>
      <c r="P15" s="95">
        <f t="shared" si="0"/>
        <v>3435.31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7"/>
    </row>
    <row r="16" spans="1:24" s="92" customFormat="1" ht="15">
      <c r="A16" s="322" t="s">
        <v>231</v>
      </c>
      <c r="B16" s="322" t="s">
        <v>221</v>
      </c>
      <c r="C16" s="322" t="s">
        <v>54</v>
      </c>
      <c r="D16" s="47">
        <v>56</v>
      </c>
      <c r="E16" s="322" t="s">
        <v>610</v>
      </c>
      <c r="F16" s="322" t="s">
        <v>742</v>
      </c>
      <c r="G16" s="322" t="s">
        <v>36</v>
      </c>
      <c r="H16" s="322" t="s">
        <v>37</v>
      </c>
      <c r="I16" s="322" t="s">
        <v>38</v>
      </c>
      <c r="J16" s="322" t="s">
        <v>62</v>
      </c>
      <c r="K16" s="322" t="s">
        <v>63</v>
      </c>
      <c r="L16" s="90">
        <v>45173</v>
      </c>
      <c r="M16" s="90">
        <v>45174</v>
      </c>
      <c r="N16" s="95">
        <f>3863.08/2</f>
        <v>1931.54</v>
      </c>
      <c r="O16" s="95">
        <f>3863.08/2</f>
        <v>1931.54</v>
      </c>
      <c r="P16" s="95">
        <f t="shared" si="0"/>
        <v>3863.08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7"/>
    </row>
    <row r="17" spans="1:24" s="92" customFormat="1" ht="15">
      <c r="A17" s="322" t="s">
        <v>231</v>
      </c>
      <c r="B17" s="322" t="s">
        <v>229</v>
      </c>
      <c r="C17" s="322" t="s">
        <v>65</v>
      </c>
      <c r="D17" s="47">
        <v>195</v>
      </c>
      <c r="E17" s="322" t="s">
        <v>743</v>
      </c>
      <c r="F17" s="322" t="s">
        <v>744</v>
      </c>
      <c r="G17" s="322" t="s">
        <v>36</v>
      </c>
      <c r="H17" s="322" t="s">
        <v>37</v>
      </c>
      <c r="I17" s="322" t="s">
        <v>38</v>
      </c>
      <c r="J17" s="322" t="s">
        <v>37</v>
      </c>
      <c r="K17" s="322" t="s">
        <v>391</v>
      </c>
      <c r="L17" s="90">
        <v>45180</v>
      </c>
      <c r="M17" s="90">
        <v>45181</v>
      </c>
      <c r="N17" s="95">
        <f>2142.13/2</f>
        <v>1071.0650000000001</v>
      </c>
      <c r="O17" s="95">
        <f>2142.13/2</f>
        <v>1071.0650000000001</v>
      </c>
      <c r="P17" s="95">
        <f t="shared" si="0"/>
        <v>2142.13</v>
      </c>
      <c r="Q17" s="77">
        <v>2</v>
      </c>
      <c r="R17" s="91">
        <v>120</v>
      </c>
      <c r="S17" s="77">
        <v>0</v>
      </c>
      <c r="T17" s="91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7"/>
    </row>
    <row r="18" spans="1:24" s="92" customFormat="1" ht="15">
      <c r="A18" s="322" t="s">
        <v>371</v>
      </c>
      <c r="B18" s="322" t="s">
        <v>226</v>
      </c>
      <c r="C18" s="322" t="s">
        <v>46</v>
      </c>
      <c r="D18" s="47">
        <v>232</v>
      </c>
      <c r="E18" s="322" t="s">
        <v>47</v>
      </c>
      <c r="F18" s="322" t="s">
        <v>745</v>
      </c>
      <c r="G18" s="322" t="s">
        <v>36</v>
      </c>
      <c r="H18" s="322" t="s">
        <v>37</v>
      </c>
      <c r="I18" s="322" t="s">
        <v>38</v>
      </c>
      <c r="J18" s="322" t="s">
        <v>39</v>
      </c>
      <c r="K18" s="322" t="s">
        <v>40</v>
      </c>
      <c r="L18" s="90">
        <v>45189</v>
      </c>
      <c r="M18" s="90">
        <v>45190</v>
      </c>
      <c r="N18" s="95">
        <f>2455.83/2</f>
        <v>1227.915</v>
      </c>
      <c r="O18" s="95">
        <f>2455.83/2</f>
        <v>1227.915</v>
      </c>
      <c r="P18" s="95">
        <f t="shared" si="0"/>
        <v>2455.83</v>
      </c>
      <c r="Q18" s="77">
        <v>2</v>
      </c>
      <c r="R18" s="91">
        <v>120</v>
      </c>
      <c r="S18" s="77">
        <v>0</v>
      </c>
      <c r="T18" s="91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7"/>
    </row>
    <row r="19" spans="1:24" s="92" customFormat="1" ht="15">
      <c r="A19" s="322" t="s">
        <v>231</v>
      </c>
      <c r="B19" s="322" t="s">
        <v>215</v>
      </c>
      <c r="C19" s="322" t="s">
        <v>746</v>
      </c>
      <c r="D19" s="47">
        <v>386</v>
      </c>
      <c r="E19" s="322" t="s">
        <v>218</v>
      </c>
      <c r="F19" s="322" t="s">
        <v>747</v>
      </c>
      <c r="G19" s="322" t="s">
        <v>36</v>
      </c>
      <c r="H19" s="322" t="s">
        <v>37</v>
      </c>
      <c r="I19" s="322" t="s">
        <v>38</v>
      </c>
      <c r="J19" s="322" t="s">
        <v>39</v>
      </c>
      <c r="K19" s="322" t="s">
        <v>40</v>
      </c>
      <c r="L19" s="90">
        <v>45187</v>
      </c>
      <c r="M19" s="90">
        <v>45188</v>
      </c>
      <c r="N19" s="95">
        <f>3131.42/2</f>
        <v>1565.71</v>
      </c>
      <c r="O19" s="95">
        <f>3131.42/2</f>
        <v>1565.71</v>
      </c>
      <c r="P19" s="95">
        <f t="shared" si="0"/>
        <v>3131.42</v>
      </c>
      <c r="Q19" s="77">
        <v>2</v>
      </c>
      <c r="R19" s="91">
        <v>120</v>
      </c>
      <c r="S19" s="77">
        <v>0</v>
      </c>
      <c r="T19" s="91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7"/>
    </row>
    <row r="20" spans="1:24" s="92" customFormat="1" ht="15">
      <c r="A20" s="322" t="s">
        <v>371</v>
      </c>
      <c r="B20" s="332" t="s">
        <v>240</v>
      </c>
      <c r="C20" s="322" t="s">
        <v>140</v>
      </c>
      <c r="D20" s="47">
        <v>230</v>
      </c>
      <c r="E20" s="322" t="s">
        <v>709</v>
      </c>
      <c r="F20" s="322" t="s">
        <v>748</v>
      </c>
      <c r="G20" s="322" t="s">
        <v>36</v>
      </c>
      <c r="H20" s="322" t="s">
        <v>37</v>
      </c>
      <c r="I20" s="322" t="s">
        <v>38</v>
      </c>
      <c r="J20" s="322" t="s">
        <v>39</v>
      </c>
      <c r="K20" s="322" t="s">
        <v>40</v>
      </c>
      <c r="L20" s="90">
        <v>45186</v>
      </c>
      <c r="M20" s="90">
        <v>45188</v>
      </c>
      <c r="N20" s="95">
        <f>(3131.42+375)/2</f>
        <v>1753.21</v>
      </c>
      <c r="O20" s="95">
        <f>(3131.42+375)/2</f>
        <v>1753.21</v>
      </c>
      <c r="P20" s="95">
        <f t="shared" si="0"/>
        <v>3506.42</v>
      </c>
      <c r="Q20" s="77">
        <v>3</v>
      </c>
      <c r="R20" s="91">
        <v>120</v>
      </c>
      <c r="S20" s="77">
        <v>0</v>
      </c>
      <c r="T20" s="91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7"/>
    </row>
    <row r="21" spans="1:24" s="92" customFormat="1" ht="15">
      <c r="A21" s="322" t="s">
        <v>231</v>
      </c>
      <c r="B21" s="322" t="s">
        <v>229</v>
      </c>
      <c r="C21" s="322" t="s">
        <v>173</v>
      </c>
      <c r="D21" s="47">
        <v>127</v>
      </c>
      <c r="E21" s="322" t="s">
        <v>749</v>
      </c>
      <c r="F21" s="322" t="s">
        <v>750</v>
      </c>
      <c r="G21" s="322" t="s">
        <v>36</v>
      </c>
      <c r="H21" s="322" t="s">
        <v>37</v>
      </c>
      <c r="I21" s="322" t="s">
        <v>38</v>
      </c>
      <c r="J21" s="322" t="s">
        <v>37</v>
      </c>
      <c r="K21" s="322" t="s">
        <v>391</v>
      </c>
      <c r="L21" s="90">
        <v>45180</v>
      </c>
      <c r="M21" s="90">
        <v>45181</v>
      </c>
      <c r="N21" s="95">
        <f>2142.13/2</f>
        <v>1071.0650000000001</v>
      </c>
      <c r="O21" s="95">
        <f>2142.13/2</f>
        <v>1071.0650000000001</v>
      </c>
      <c r="P21" s="95">
        <f t="shared" si="0"/>
        <v>2142.13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7"/>
    </row>
    <row r="22" spans="1:24" s="92" customFormat="1" ht="15">
      <c r="A22" s="322" t="s">
        <v>231</v>
      </c>
      <c r="B22" s="322" t="s">
        <v>231</v>
      </c>
      <c r="C22" s="322" t="s">
        <v>704</v>
      </c>
      <c r="D22" s="47">
        <v>0</v>
      </c>
      <c r="E22" s="322" t="s">
        <v>562</v>
      </c>
      <c r="F22" s="322" t="s">
        <v>75</v>
      </c>
      <c r="G22" s="322" t="s">
        <v>36</v>
      </c>
      <c r="H22" s="322" t="s">
        <v>37</v>
      </c>
      <c r="I22" s="322" t="s">
        <v>38</v>
      </c>
      <c r="J22" s="322" t="s">
        <v>464</v>
      </c>
      <c r="K22" s="322" t="s">
        <v>425</v>
      </c>
      <c r="L22" s="90">
        <v>45179</v>
      </c>
      <c r="M22" s="90">
        <v>45180</v>
      </c>
      <c r="N22" s="95">
        <f>5340.73/2</f>
        <v>2670.3649999999998</v>
      </c>
      <c r="O22" s="95">
        <f>5340.73/2</f>
        <v>2670.3649999999998</v>
      </c>
      <c r="P22" s="95">
        <f t="shared" si="0"/>
        <v>5340.73</v>
      </c>
      <c r="Q22" s="77">
        <v>0</v>
      </c>
      <c r="R22" s="91">
        <v>0</v>
      </c>
      <c r="S22" s="77">
        <v>0</v>
      </c>
      <c r="T22" s="91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7"/>
    </row>
    <row r="23" spans="1:24" s="92" customFormat="1" ht="15">
      <c r="A23" s="322" t="s">
        <v>231</v>
      </c>
      <c r="B23" s="322" t="s">
        <v>231</v>
      </c>
      <c r="C23" s="322" t="s">
        <v>704</v>
      </c>
      <c r="D23" s="47">
        <v>0</v>
      </c>
      <c r="E23" s="322" t="s">
        <v>562</v>
      </c>
      <c r="F23" s="322" t="s">
        <v>751</v>
      </c>
      <c r="G23" s="322" t="s">
        <v>36</v>
      </c>
      <c r="H23" s="322" t="s">
        <v>37</v>
      </c>
      <c r="I23" s="322" t="s">
        <v>38</v>
      </c>
      <c r="J23" s="322" t="s">
        <v>148</v>
      </c>
      <c r="K23" s="322" t="s">
        <v>149</v>
      </c>
      <c r="L23" s="90">
        <v>45196</v>
      </c>
      <c r="M23" s="90">
        <v>45198</v>
      </c>
      <c r="N23" s="95">
        <f>1084.7/2</f>
        <v>542.35</v>
      </c>
      <c r="O23" s="95">
        <f>1084.7/2</f>
        <v>542.35</v>
      </c>
      <c r="P23" s="95">
        <f t="shared" si="0"/>
        <v>1084.7</v>
      </c>
      <c r="Q23" s="77">
        <v>0</v>
      </c>
      <c r="R23" s="91">
        <v>0</v>
      </c>
      <c r="S23" s="77">
        <v>0</v>
      </c>
      <c r="T23" s="91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7"/>
    </row>
    <row r="24" spans="1:24" s="92" customFormat="1" ht="15">
      <c r="A24" s="322" t="s">
        <v>371</v>
      </c>
      <c r="B24" s="322" t="s">
        <v>371</v>
      </c>
      <c r="C24" s="322" t="s">
        <v>79</v>
      </c>
      <c r="D24" s="47">
        <v>0</v>
      </c>
      <c r="E24" s="322" t="s">
        <v>80</v>
      </c>
      <c r="F24" s="322" t="s">
        <v>161</v>
      </c>
      <c r="G24" s="322" t="s">
        <v>36</v>
      </c>
      <c r="H24" s="322" t="s">
        <v>37</v>
      </c>
      <c r="I24" s="322" t="s">
        <v>38</v>
      </c>
      <c r="J24" s="322" t="s">
        <v>39</v>
      </c>
      <c r="K24" s="322" t="s">
        <v>40</v>
      </c>
      <c r="L24" s="90">
        <v>45188</v>
      </c>
      <c r="M24" s="90">
        <v>45189</v>
      </c>
      <c r="N24" s="95">
        <f>2870.29/2</f>
        <v>1435.145</v>
      </c>
      <c r="O24" s="95">
        <f>2870.29/2</f>
        <v>1435.145</v>
      </c>
      <c r="P24" s="95">
        <f t="shared" si="0"/>
        <v>2870.29</v>
      </c>
      <c r="Q24" s="77">
        <v>0</v>
      </c>
      <c r="R24" s="91">
        <v>0</v>
      </c>
      <c r="S24" s="77">
        <v>0</v>
      </c>
      <c r="T24" s="91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7"/>
    </row>
    <row r="25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371</v>
      </c>
      <c r="B5" s="332" t="s">
        <v>273</v>
      </c>
      <c r="C5" s="322" t="s">
        <v>752</v>
      </c>
      <c r="D5" s="47">
        <v>384</v>
      </c>
      <c r="E5" s="322" t="s">
        <v>753</v>
      </c>
      <c r="F5" s="322" t="s">
        <v>754</v>
      </c>
      <c r="G5" s="322" t="s">
        <v>36</v>
      </c>
      <c r="H5" s="322" t="s">
        <v>37</v>
      </c>
      <c r="I5" s="322" t="s">
        <v>38</v>
      </c>
      <c r="J5" s="322" t="s">
        <v>116</v>
      </c>
      <c r="K5" s="322" t="s">
        <v>117</v>
      </c>
      <c r="L5" s="90">
        <v>45225</v>
      </c>
      <c r="M5" s="90">
        <v>45226</v>
      </c>
      <c r="N5" s="95">
        <f>1857.25/2</f>
        <v>928.625</v>
      </c>
      <c r="O5" s="95">
        <f>1857.25/2</f>
        <v>928.625</v>
      </c>
      <c r="P5" s="95">
        <f t="shared" ref="P5:P30" si="0">SUM(N5:O5)</f>
        <v>1857.25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7"/>
    </row>
    <row r="6" spans="1:24" s="92" customFormat="1" ht="15">
      <c r="A6" s="322" t="s">
        <v>253</v>
      </c>
      <c r="B6" s="332" t="s">
        <v>288</v>
      </c>
      <c r="C6" s="322" t="s">
        <v>642</v>
      </c>
      <c r="D6" s="47">
        <v>252</v>
      </c>
      <c r="E6" s="323" t="s">
        <v>755</v>
      </c>
      <c r="F6" s="322" t="s">
        <v>756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90">
        <v>45198</v>
      </c>
      <c r="M6" s="90">
        <v>45215</v>
      </c>
      <c r="N6" s="95">
        <f>1941.13/2</f>
        <v>970.56500000000005</v>
      </c>
      <c r="O6" s="95">
        <f>1941.13/2</f>
        <v>970.56500000000005</v>
      </c>
      <c r="P6" s="95">
        <f t="shared" si="0"/>
        <v>1941.13</v>
      </c>
      <c r="Q6" s="77">
        <v>18</v>
      </c>
      <c r="R6" s="91">
        <v>120</v>
      </c>
      <c r="S6" s="77">
        <v>0</v>
      </c>
      <c r="T6" s="91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7"/>
    </row>
    <row r="7" spans="1:24" s="92" customFormat="1" ht="30">
      <c r="A7" s="322" t="s">
        <v>371</v>
      </c>
      <c r="B7" s="332" t="s">
        <v>240</v>
      </c>
      <c r="C7" s="322" t="s">
        <v>140</v>
      </c>
      <c r="D7" s="47">
        <v>230</v>
      </c>
      <c r="E7" s="322" t="s">
        <v>709</v>
      </c>
      <c r="F7" s="323" t="s">
        <v>757</v>
      </c>
      <c r="G7" s="322" t="s">
        <v>36</v>
      </c>
      <c r="H7" s="322" t="s">
        <v>37</v>
      </c>
      <c r="I7" s="322" t="s">
        <v>38</v>
      </c>
      <c r="J7" s="322" t="s">
        <v>127</v>
      </c>
      <c r="K7" s="322" t="s">
        <v>63</v>
      </c>
      <c r="L7" s="90">
        <v>45216</v>
      </c>
      <c r="M7" s="90">
        <v>45219</v>
      </c>
      <c r="N7" s="95">
        <f>2164.49/2</f>
        <v>1082.2449999999999</v>
      </c>
      <c r="O7" s="95">
        <f>2164.49/2</f>
        <v>1082.2449999999999</v>
      </c>
      <c r="P7" s="95">
        <f t="shared" si="0"/>
        <v>2164.4899999999998</v>
      </c>
      <c r="Q7" s="77">
        <v>4</v>
      </c>
      <c r="R7" s="91">
        <v>120</v>
      </c>
      <c r="S7" s="77">
        <v>0</v>
      </c>
      <c r="T7" s="91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7"/>
    </row>
    <row r="8" spans="1:24" s="92" customFormat="1" ht="15">
      <c r="A8" s="322" t="s">
        <v>371</v>
      </c>
      <c r="B8" s="332" t="s">
        <v>240</v>
      </c>
      <c r="C8" s="322" t="s">
        <v>477</v>
      </c>
      <c r="D8" s="47">
        <v>280</v>
      </c>
      <c r="E8" s="322" t="s">
        <v>758</v>
      </c>
      <c r="F8" s="322" t="s">
        <v>754</v>
      </c>
      <c r="G8" s="322" t="s">
        <v>36</v>
      </c>
      <c r="H8" s="322" t="s">
        <v>37</v>
      </c>
      <c r="I8" s="322" t="s">
        <v>38</v>
      </c>
      <c r="J8" s="322" t="s">
        <v>116</v>
      </c>
      <c r="K8" s="322" t="s">
        <v>117</v>
      </c>
      <c r="L8" s="90">
        <v>45225</v>
      </c>
      <c r="M8" s="90">
        <v>45226</v>
      </c>
      <c r="N8" s="95">
        <f>1816.7/2</f>
        <v>908.35</v>
      </c>
      <c r="O8" s="95">
        <f>1816.7/2</f>
        <v>908.35</v>
      </c>
      <c r="P8" s="95">
        <f t="shared" si="0"/>
        <v>1816.7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7"/>
    </row>
    <row r="9" spans="1:24" s="92" customFormat="1" ht="15">
      <c r="A9" s="322" t="s">
        <v>253</v>
      </c>
      <c r="B9" s="322" t="s">
        <v>322</v>
      </c>
      <c r="C9" s="322" t="s">
        <v>327</v>
      </c>
      <c r="D9" s="47">
        <v>87</v>
      </c>
      <c r="E9" s="322" t="s">
        <v>329</v>
      </c>
      <c r="F9" s="322" t="s">
        <v>759</v>
      </c>
      <c r="G9" s="322" t="s">
        <v>36</v>
      </c>
      <c r="H9" s="322" t="s">
        <v>37</v>
      </c>
      <c r="I9" s="322" t="s">
        <v>38</v>
      </c>
      <c r="J9" s="322" t="s">
        <v>116</v>
      </c>
      <c r="K9" s="322" t="s">
        <v>117</v>
      </c>
      <c r="L9" s="90">
        <v>45218</v>
      </c>
      <c r="M9" s="90">
        <v>45219</v>
      </c>
      <c r="N9" s="95">
        <f>2022.63/2</f>
        <v>1011.3150000000001</v>
      </c>
      <c r="O9" s="95">
        <f>2022.63/2</f>
        <v>1011.3150000000001</v>
      </c>
      <c r="P9" s="95">
        <f t="shared" si="0"/>
        <v>2022.63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7"/>
    </row>
    <row r="10" spans="1:24" s="92" customFormat="1" ht="15">
      <c r="A10" s="322" t="s">
        <v>253</v>
      </c>
      <c r="B10" s="322" t="s">
        <v>322</v>
      </c>
      <c r="C10" s="322" t="s">
        <v>760</v>
      </c>
      <c r="D10" s="47">
        <v>397</v>
      </c>
      <c r="E10" s="322" t="s">
        <v>761</v>
      </c>
      <c r="F10" s="322" t="s">
        <v>759</v>
      </c>
      <c r="G10" s="322" t="s">
        <v>36</v>
      </c>
      <c r="H10" s="322" t="s">
        <v>37</v>
      </c>
      <c r="I10" s="322" t="s">
        <v>38</v>
      </c>
      <c r="J10" s="322" t="s">
        <v>116</v>
      </c>
      <c r="K10" s="322" t="s">
        <v>117</v>
      </c>
      <c r="L10" s="90">
        <v>45218</v>
      </c>
      <c r="M10" s="90">
        <v>45219</v>
      </c>
      <c r="N10" s="95">
        <f t="shared" ref="N10:O11" si="10">2022.63/2</f>
        <v>1011.3150000000001</v>
      </c>
      <c r="O10" s="95">
        <f t="shared" si="10"/>
        <v>1011.3150000000001</v>
      </c>
      <c r="P10" s="95">
        <f t="shared" si="0"/>
        <v>2022.63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7"/>
    </row>
    <row r="11" spans="1:24" s="92" customFormat="1" ht="15">
      <c r="A11" s="322" t="s">
        <v>253</v>
      </c>
      <c r="B11" s="322" t="s">
        <v>322</v>
      </c>
      <c r="C11" s="322" t="s">
        <v>762</v>
      </c>
      <c r="D11" s="47">
        <v>324</v>
      </c>
      <c r="E11" s="322" t="s">
        <v>763</v>
      </c>
      <c r="F11" s="322" t="s">
        <v>759</v>
      </c>
      <c r="G11" s="322" t="s">
        <v>36</v>
      </c>
      <c r="H11" s="322" t="s">
        <v>37</v>
      </c>
      <c r="I11" s="322" t="s">
        <v>38</v>
      </c>
      <c r="J11" s="322" t="s">
        <v>116</v>
      </c>
      <c r="K11" s="322" t="s">
        <v>117</v>
      </c>
      <c r="L11" s="90">
        <v>45218</v>
      </c>
      <c r="M11" s="90">
        <v>45219</v>
      </c>
      <c r="N11" s="95">
        <f t="shared" si="10"/>
        <v>1011.3150000000001</v>
      </c>
      <c r="O11" s="95">
        <f t="shared" si="10"/>
        <v>1011.3150000000001</v>
      </c>
      <c r="P11" s="95">
        <f t="shared" si="0"/>
        <v>2022.63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7"/>
    </row>
    <row r="12" spans="1:24" s="92" customFormat="1" ht="15">
      <c r="A12" s="322" t="s">
        <v>231</v>
      </c>
      <c r="B12" s="322" t="s">
        <v>764</v>
      </c>
      <c r="C12" s="322" t="s">
        <v>731</v>
      </c>
      <c r="D12" s="47">
        <v>390</v>
      </c>
      <c r="E12" s="322" t="s">
        <v>765</v>
      </c>
      <c r="F12" s="322" t="s">
        <v>766</v>
      </c>
      <c r="G12" s="322" t="s">
        <v>36</v>
      </c>
      <c r="H12" s="322" t="s">
        <v>37</v>
      </c>
      <c r="I12" s="322" t="s">
        <v>38</v>
      </c>
      <c r="J12" s="322" t="s">
        <v>116</v>
      </c>
      <c r="K12" s="322" t="s">
        <v>767</v>
      </c>
      <c r="L12" s="90">
        <v>45224</v>
      </c>
      <c r="M12" s="90">
        <v>45226</v>
      </c>
      <c r="N12" s="95">
        <f>2436.85/2</f>
        <v>1218.425</v>
      </c>
      <c r="O12" s="95">
        <f>2436.85/2</f>
        <v>1218.425</v>
      </c>
      <c r="P12" s="95">
        <f t="shared" si="0"/>
        <v>2436.85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7"/>
    </row>
    <row r="13" spans="1:24" s="92" customFormat="1" ht="15">
      <c r="A13" s="322" t="s">
        <v>231</v>
      </c>
      <c r="B13" s="322" t="s">
        <v>231</v>
      </c>
      <c r="C13" s="322" t="s">
        <v>768</v>
      </c>
      <c r="D13" s="47">
        <v>392</v>
      </c>
      <c r="E13" s="322" t="s">
        <v>769</v>
      </c>
      <c r="F13" s="322" t="s">
        <v>766</v>
      </c>
      <c r="G13" s="322" t="s">
        <v>36</v>
      </c>
      <c r="H13" s="322" t="s">
        <v>37</v>
      </c>
      <c r="I13" s="322" t="s">
        <v>38</v>
      </c>
      <c r="J13" s="322" t="s">
        <v>116</v>
      </c>
      <c r="K13" s="322" t="s">
        <v>767</v>
      </c>
      <c r="L13" s="90">
        <v>45224</v>
      </c>
      <c r="M13" s="90">
        <v>45226</v>
      </c>
      <c r="N13" s="95">
        <f>2785.85/2</f>
        <v>1392.925</v>
      </c>
      <c r="O13" s="95">
        <f>2785.85/2</f>
        <v>1392.925</v>
      </c>
      <c r="P13" s="95">
        <f t="shared" si="0"/>
        <v>2785.85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7"/>
    </row>
    <row r="14" spans="1:24" s="92" customFormat="1" ht="15">
      <c r="A14" s="322" t="s">
        <v>231</v>
      </c>
      <c r="B14" s="322" t="s">
        <v>229</v>
      </c>
      <c r="C14" s="322" t="s">
        <v>653</v>
      </c>
      <c r="D14" s="47">
        <v>343</v>
      </c>
      <c r="E14" s="322" t="s">
        <v>770</v>
      </c>
      <c r="F14" s="322" t="s">
        <v>771</v>
      </c>
      <c r="G14" s="322" t="s">
        <v>36</v>
      </c>
      <c r="H14" s="322" t="s">
        <v>37</v>
      </c>
      <c r="I14" s="322" t="s">
        <v>38</v>
      </c>
      <c r="J14" s="322" t="s">
        <v>37</v>
      </c>
      <c r="K14" s="322" t="s">
        <v>391</v>
      </c>
      <c r="L14" s="90">
        <v>45224</v>
      </c>
      <c r="M14" s="90">
        <v>45226</v>
      </c>
      <c r="N14" s="95">
        <f>1941.13/2</f>
        <v>970.56500000000005</v>
      </c>
      <c r="O14" s="95">
        <f>1941.13/2</f>
        <v>970.56500000000005</v>
      </c>
      <c r="P14" s="95">
        <f t="shared" si="0"/>
        <v>1941.13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7"/>
    </row>
    <row r="15" spans="1:24" s="92" customFormat="1" ht="15">
      <c r="A15" s="322" t="s">
        <v>231</v>
      </c>
      <c r="B15" s="322" t="s">
        <v>229</v>
      </c>
      <c r="C15" s="322" t="s">
        <v>65</v>
      </c>
      <c r="D15" s="47">
        <v>195</v>
      </c>
      <c r="E15" s="322" t="s">
        <v>770</v>
      </c>
      <c r="F15" s="322" t="s">
        <v>771</v>
      </c>
      <c r="G15" s="322" t="s">
        <v>36</v>
      </c>
      <c r="H15" s="322" t="s">
        <v>37</v>
      </c>
      <c r="I15" s="322" t="s">
        <v>38</v>
      </c>
      <c r="J15" s="322" t="s">
        <v>37</v>
      </c>
      <c r="K15" s="322" t="s">
        <v>391</v>
      </c>
      <c r="L15" s="90">
        <v>45224</v>
      </c>
      <c r="M15" s="90">
        <v>45226</v>
      </c>
      <c r="N15" s="95">
        <f>1941.13/2</f>
        <v>970.56500000000005</v>
      </c>
      <c r="O15" s="95">
        <f>1941.13/2</f>
        <v>970.56500000000005</v>
      </c>
      <c r="P15" s="95">
        <f t="shared" si="0"/>
        <v>1941.13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7"/>
    </row>
    <row r="16" spans="1:24" s="92" customFormat="1" ht="15">
      <c r="A16" s="322" t="s">
        <v>231</v>
      </c>
      <c r="B16" s="322" t="s">
        <v>229</v>
      </c>
      <c r="C16" s="322" t="s">
        <v>729</v>
      </c>
      <c r="D16" s="47">
        <v>387</v>
      </c>
      <c r="E16" s="322" t="s">
        <v>248</v>
      </c>
      <c r="F16" s="322" t="s">
        <v>772</v>
      </c>
      <c r="G16" s="322" t="s">
        <v>36</v>
      </c>
      <c r="H16" s="322" t="s">
        <v>37</v>
      </c>
      <c r="I16" s="322" t="s">
        <v>38</v>
      </c>
      <c r="J16" s="322" t="s">
        <v>116</v>
      </c>
      <c r="K16" s="322" t="s">
        <v>117</v>
      </c>
      <c r="L16" s="90">
        <v>45222</v>
      </c>
      <c r="M16" s="90">
        <v>45225</v>
      </c>
      <c r="N16" s="95">
        <f>1816.7/2</f>
        <v>908.35</v>
      </c>
      <c r="O16" s="95">
        <f>1816.7/2</f>
        <v>908.35</v>
      </c>
      <c r="P16" s="95">
        <f t="shared" si="0"/>
        <v>1816.7</v>
      </c>
      <c r="Q16" s="77">
        <v>4</v>
      </c>
      <c r="R16" s="91">
        <v>120</v>
      </c>
      <c r="S16" s="77">
        <v>0</v>
      </c>
      <c r="T16" s="91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7"/>
    </row>
    <row r="17" spans="1:24" s="92" customFormat="1" ht="15">
      <c r="A17" s="322" t="s">
        <v>253</v>
      </c>
      <c r="B17" s="322" t="s">
        <v>253</v>
      </c>
      <c r="C17" s="322" t="s">
        <v>387</v>
      </c>
      <c r="D17" s="47">
        <v>0</v>
      </c>
      <c r="E17" s="322" t="s">
        <v>50</v>
      </c>
      <c r="F17" s="322" t="s">
        <v>766</v>
      </c>
      <c r="G17" s="322" t="s">
        <v>36</v>
      </c>
      <c r="H17" s="322" t="s">
        <v>37</v>
      </c>
      <c r="I17" s="322" t="s">
        <v>38</v>
      </c>
      <c r="J17" s="322" t="s">
        <v>116</v>
      </c>
      <c r="K17" s="322" t="s">
        <v>767</v>
      </c>
      <c r="L17" s="90">
        <v>45224</v>
      </c>
      <c r="M17" s="90">
        <v>45226</v>
      </c>
      <c r="N17" s="95">
        <f>2436.85/2</f>
        <v>1218.425</v>
      </c>
      <c r="O17" s="95">
        <f>2436.85/2</f>
        <v>1218.425</v>
      </c>
      <c r="P17" s="95">
        <f t="shared" si="0"/>
        <v>2436.85</v>
      </c>
      <c r="Q17" s="77">
        <v>0</v>
      </c>
      <c r="R17" s="91">
        <v>120</v>
      </c>
      <c r="S17" s="77">
        <v>0</v>
      </c>
      <c r="T17" s="91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7"/>
    </row>
    <row r="18" spans="1:24" s="92" customFormat="1" ht="15">
      <c r="A18" s="322" t="s">
        <v>253</v>
      </c>
      <c r="B18" s="322" t="s">
        <v>259</v>
      </c>
      <c r="C18" s="322" t="s">
        <v>383</v>
      </c>
      <c r="D18" s="47">
        <v>65</v>
      </c>
      <c r="E18" s="322" t="s">
        <v>773</v>
      </c>
      <c r="F18" s="322" t="s">
        <v>766</v>
      </c>
      <c r="G18" s="322" t="s">
        <v>36</v>
      </c>
      <c r="H18" s="322" t="s">
        <v>37</v>
      </c>
      <c r="I18" s="322" t="s">
        <v>38</v>
      </c>
      <c r="J18" s="322" t="s">
        <v>116</v>
      </c>
      <c r="K18" s="322" t="s">
        <v>767</v>
      </c>
      <c r="L18" s="90">
        <v>45224</v>
      </c>
      <c r="M18" s="90">
        <v>45226</v>
      </c>
      <c r="N18" s="95">
        <f>2436.85/2</f>
        <v>1218.425</v>
      </c>
      <c r="O18" s="95">
        <f>2436.85/2</f>
        <v>1218.425</v>
      </c>
      <c r="P18" s="95">
        <f t="shared" si="0"/>
        <v>2436.85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7"/>
    </row>
    <row r="19" spans="1:24" s="92" customFormat="1" ht="15">
      <c r="A19" s="322" t="s">
        <v>371</v>
      </c>
      <c r="B19" s="322" t="s">
        <v>371</v>
      </c>
      <c r="C19" s="322" t="s">
        <v>79</v>
      </c>
      <c r="D19" s="47">
        <v>0</v>
      </c>
      <c r="E19" s="322" t="s">
        <v>80</v>
      </c>
      <c r="F19" s="322" t="str">
        <f>$E$36</f>
        <v>EVENTO REGULATÓRIO COMMIT/MITSUI - QUANTUM</v>
      </c>
      <c r="G19" s="322" t="s">
        <v>774</v>
      </c>
      <c r="H19" s="322" t="s">
        <v>37</v>
      </c>
      <c r="I19" s="322" t="s">
        <v>38</v>
      </c>
      <c r="J19" s="322"/>
      <c r="K19" s="322" t="s">
        <v>775</v>
      </c>
      <c r="L19" s="90">
        <v>45214</v>
      </c>
      <c r="M19" s="90">
        <v>45220</v>
      </c>
      <c r="N19" s="95">
        <f>4613.64/2</f>
        <v>2306.8200000000002</v>
      </c>
      <c r="O19" s="95">
        <f>4613.64/2</f>
        <v>2306.8200000000002</v>
      </c>
      <c r="P19" s="95">
        <f t="shared" si="0"/>
        <v>4613.6400000000003</v>
      </c>
      <c r="Q19" s="77">
        <v>0</v>
      </c>
      <c r="R19" s="91">
        <v>120</v>
      </c>
      <c r="S19" s="77">
        <v>0</v>
      </c>
      <c r="T19" s="91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7"/>
    </row>
    <row r="20" spans="1:24" s="92" customFormat="1" ht="15">
      <c r="A20" s="322" t="s">
        <v>231</v>
      </c>
      <c r="B20" s="322" t="s">
        <v>231</v>
      </c>
      <c r="C20" s="322" t="s">
        <v>704</v>
      </c>
      <c r="D20" s="47">
        <v>0</v>
      </c>
      <c r="E20" s="322" t="s">
        <v>562</v>
      </c>
      <c r="F20" s="322" t="str">
        <f>$E$36</f>
        <v>EVENTO REGULATÓRIO COMMIT/MITSUI - QUANTUM</v>
      </c>
      <c r="G20" s="322" t="s">
        <v>774</v>
      </c>
      <c r="H20" s="322" t="s">
        <v>37</v>
      </c>
      <c r="I20" s="322" t="s">
        <v>38</v>
      </c>
      <c r="J20" s="322"/>
      <c r="K20" s="322" t="s">
        <v>775</v>
      </c>
      <c r="L20" s="90">
        <v>45214</v>
      </c>
      <c r="M20" s="90">
        <v>45220</v>
      </c>
      <c r="N20" s="95">
        <f>6094/2</f>
        <v>3047</v>
      </c>
      <c r="O20" s="95">
        <f>6094/2</f>
        <v>3047</v>
      </c>
      <c r="P20" s="95">
        <f t="shared" si="0"/>
        <v>6094</v>
      </c>
      <c r="Q20" s="77">
        <v>0</v>
      </c>
      <c r="R20" s="91">
        <v>6279.28</v>
      </c>
      <c r="S20" s="77">
        <v>0</v>
      </c>
      <c r="T20" s="91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7"/>
    </row>
    <row r="21" spans="1:24" s="92" customFormat="1" ht="15">
      <c r="A21" s="322" t="s">
        <v>371</v>
      </c>
      <c r="B21" s="322" t="s">
        <v>371</v>
      </c>
      <c r="C21" s="322" t="s">
        <v>137</v>
      </c>
      <c r="D21" s="47">
        <v>202</v>
      </c>
      <c r="E21" s="322" t="s">
        <v>700</v>
      </c>
      <c r="F21" s="322" t="str">
        <f>$E$36</f>
        <v>EVENTO REGULATÓRIO COMMIT/MITSUI - QUANTUM</v>
      </c>
      <c r="G21" s="322" t="s">
        <v>774</v>
      </c>
      <c r="H21" s="322" t="s">
        <v>37</v>
      </c>
      <c r="I21" s="322" t="s">
        <v>38</v>
      </c>
      <c r="J21" s="322"/>
      <c r="K21" s="322" t="s">
        <v>775</v>
      </c>
      <c r="L21" s="90">
        <v>45214</v>
      </c>
      <c r="M21" s="90">
        <v>45220</v>
      </c>
      <c r="N21" s="95">
        <f>4613.64/2</f>
        <v>2306.8200000000002</v>
      </c>
      <c r="O21" s="95">
        <f>4613.64/2</f>
        <v>2306.8200000000002</v>
      </c>
      <c r="P21" s="95">
        <f t="shared" si="0"/>
        <v>4613.6400000000003</v>
      </c>
      <c r="Q21" s="77">
        <v>0</v>
      </c>
      <c r="R21" s="91">
        <v>120</v>
      </c>
      <c r="S21" s="77">
        <v>0</v>
      </c>
      <c r="T21" s="91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7"/>
    </row>
    <row r="22" spans="1:24" s="92" customFormat="1" ht="15">
      <c r="A22" s="322" t="s">
        <v>371</v>
      </c>
      <c r="B22" s="332" t="s">
        <v>295</v>
      </c>
      <c r="C22" s="322" t="s">
        <v>296</v>
      </c>
      <c r="D22" s="47">
        <v>61</v>
      </c>
      <c r="E22" s="322" t="s">
        <v>776</v>
      </c>
      <c r="F22" s="322" t="s">
        <v>777</v>
      </c>
      <c r="G22" s="322" t="s">
        <v>36</v>
      </c>
      <c r="H22" s="322" t="s">
        <v>37</v>
      </c>
      <c r="I22" s="322" t="s">
        <v>38</v>
      </c>
      <c r="J22" s="322" t="s">
        <v>39</v>
      </c>
      <c r="K22" s="322" t="s">
        <v>40</v>
      </c>
      <c r="L22" s="90">
        <v>45216</v>
      </c>
      <c r="M22" s="90">
        <v>45217</v>
      </c>
      <c r="N22" s="95">
        <f>2054.92/2</f>
        <v>1027.46</v>
      </c>
      <c r="O22" s="95">
        <f>2054.92/2</f>
        <v>1027.46</v>
      </c>
      <c r="P22" s="95">
        <f t="shared" si="0"/>
        <v>2054.92</v>
      </c>
      <c r="Q22" s="77">
        <v>2</v>
      </c>
      <c r="R22" s="91">
        <v>120</v>
      </c>
      <c r="S22" s="77">
        <v>0</v>
      </c>
      <c r="T22" s="91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7"/>
    </row>
    <row r="23" spans="1:24" s="92" customFormat="1" ht="15">
      <c r="A23" s="322" t="s">
        <v>253</v>
      </c>
      <c r="B23" s="322" t="s">
        <v>253</v>
      </c>
      <c r="C23" s="322" t="s">
        <v>387</v>
      </c>
      <c r="D23" s="47">
        <v>0</v>
      </c>
      <c r="E23" s="322" t="s">
        <v>50</v>
      </c>
      <c r="F23" s="322" t="s">
        <v>778</v>
      </c>
      <c r="G23" s="322" t="s">
        <v>36</v>
      </c>
      <c r="H23" s="322" t="s">
        <v>37</v>
      </c>
      <c r="I23" s="322" t="s">
        <v>38</v>
      </c>
      <c r="J23" s="322" t="s">
        <v>39</v>
      </c>
      <c r="K23" s="322" t="s">
        <v>40</v>
      </c>
      <c r="L23" s="90">
        <v>45221</v>
      </c>
      <c r="M23" s="90">
        <v>45224</v>
      </c>
      <c r="N23" s="95">
        <f>(1632.83+2870.29)/2</f>
        <v>2251.56</v>
      </c>
      <c r="O23" s="95">
        <f>(1632.83+2870.29)/2</f>
        <v>2251.56</v>
      </c>
      <c r="P23" s="95">
        <f t="shared" si="0"/>
        <v>4503.12</v>
      </c>
      <c r="Q23" s="77">
        <v>0</v>
      </c>
      <c r="R23" s="91">
        <v>120</v>
      </c>
      <c r="S23" s="77">
        <v>0</v>
      </c>
      <c r="T23" s="91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7"/>
    </row>
    <row r="24" spans="1:24" s="92" customFormat="1" ht="30">
      <c r="A24" s="322" t="s">
        <v>231</v>
      </c>
      <c r="B24" s="322" t="s">
        <v>231</v>
      </c>
      <c r="C24" s="322" t="s">
        <v>704</v>
      </c>
      <c r="D24" s="47">
        <v>0</v>
      </c>
      <c r="E24" s="322" t="s">
        <v>562</v>
      </c>
      <c r="F24" s="323" t="s">
        <v>779</v>
      </c>
      <c r="G24" s="322" t="s">
        <v>36</v>
      </c>
      <c r="H24" s="322" t="s">
        <v>37</v>
      </c>
      <c r="I24" s="322" t="s">
        <v>38</v>
      </c>
      <c r="J24" s="322" t="s">
        <v>127</v>
      </c>
      <c r="K24" s="322" t="s">
        <v>63</v>
      </c>
      <c r="L24" s="90">
        <v>45222</v>
      </c>
      <c r="M24" s="90">
        <v>45224</v>
      </c>
      <c r="N24" s="95">
        <f>2210.74/2</f>
        <v>1105.3699999999999</v>
      </c>
      <c r="O24" s="95">
        <f>2210.74/2</f>
        <v>1105.3699999999999</v>
      </c>
      <c r="P24" s="95">
        <f t="shared" si="0"/>
        <v>2210.7399999999998</v>
      </c>
      <c r="Q24" s="77">
        <v>0</v>
      </c>
      <c r="R24" s="91">
        <v>120</v>
      </c>
      <c r="S24" s="77">
        <v>0</v>
      </c>
      <c r="T24" s="91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7"/>
    </row>
    <row r="25" spans="1:24" s="92" customFormat="1" ht="15">
      <c r="A25" s="322" t="s">
        <v>253</v>
      </c>
      <c r="B25" s="322" t="s">
        <v>212</v>
      </c>
      <c r="C25" s="322" t="s">
        <v>539</v>
      </c>
      <c r="D25" s="47">
        <v>159</v>
      </c>
      <c r="E25" s="322" t="s">
        <v>541</v>
      </c>
      <c r="F25" s="322" t="s">
        <v>780</v>
      </c>
      <c r="G25" s="322" t="s">
        <v>36</v>
      </c>
      <c r="H25" s="322" t="s">
        <v>37</v>
      </c>
      <c r="I25" s="322" t="s">
        <v>38</v>
      </c>
      <c r="J25" s="322" t="s">
        <v>127</v>
      </c>
      <c r="K25" s="322" t="s">
        <v>414</v>
      </c>
      <c r="L25" s="90">
        <v>45223</v>
      </c>
      <c r="M25" s="90">
        <v>45224</v>
      </c>
      <c r="N25" s="95">
        <f>3615.39/2</f>
        <v>1807.6949999999999</v>
      </c>
      <c r="O25" s="95">
        <f>3615.39/2</f>
        <v>1807.6949999999999</v>
      </c>
      <c r="P25" s="95">
        <f t="shared" si="0"/>
        <v>3615.39</v>
      </c>
      <c r="Q25" s="77">
        <v>2</v>
      </c>
      <c r="R25" s="91">
        <v>120</v>
      </c>
      <c r="S25" s="77">
        <v>0</v>
      </c>
      <c r="T25" s="91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7"/>
    </row>
    <row r="26" spans="1:24" s="92" customFormat="1" ht="15">
      <c r="A26" s="322" t="s">
        <v>231</v>
      </c>
      <c r="B26" s="322" t="s">
        <v>231</v>
      </c>
      <c r="C26" s="322" t="s">
        <v>704</v>
      </c>
      <c r="D26" s="47">
        <v>0</v>
      </c>
      <c r="E26" s="322" t="s">
        <v>562</v>
      </c>
      <c r="F26" s="322" t="s">
        <v>766</v>
      </c>
      <c r="G26" s="322" t="s">
        <v>36</v>
      </c>
      <c r="H26" s="322" t="s">
        <v>37</v>
      </c>
      <c r="I26" s="322" t="s">
        <v>38</v>
      </c>
      <c r="J26" s="322" t="s">
        <v>37</v>
      </c>
      <c r="K26" s="322" t="s">
        <v>781</v>
      </c>
      <c r="L26" s="90">
        <v>45224</v>
      </c>
      <c r="M26" s="90">
        <v>45226</v>
      </c>
      <c r="N26" s="95">
        <f>1951.84/2</f>
        <v>975.92</v>
      </c>
      <c r="O26" s="95">
        <f>1951.84/2</f>
        <v>975.92</v>
      </c>
      <c r="P26" s="95">
        <f t="shared" si="0"/>
        <v>1951.84</v>
      </c>
      <c r="Q26" s="77">
        <v>0</v>
      </c>
      <c r="R26" s="91">
        <v>120</v>
      </c>
      <c r="S26" s="77">
        <v>0</v>
      </c>
      <c r="T26" s="91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7"/>
    </row>
    <row r="27" spans="1:24" s="92" customFormat="1" ht="15">
      <c r="A27" s="322" t="s">
        <v>231</v>
      </c>
      <c r="B27" s="322" t="s">
        <v>241</v>
      </c>
      <c r="C27" s="322" t="s">
        <v>701</v>
      </c>
      <c r="D27" s="47">
        <v>394</v>
      </c>
      <c r="E27" s="322" t="s">
        <v>702</v>
      </c>
      <c r="F27" s="322" t="s">
        <v>782</v>
      </c>
      <c r="G27" s="322" t="s">
        <v>36</v>
      </c>
      <c r="H27" s="322" t="s">
        <v>37</v>
      </c>
      <c r="I27" s="322" t="s">
        <v>38</v>
      </c>
      <c r="J27" s="322" t="s">
        <v>127</v>
      </c>
      <c r="K27" s="322" t="s">
        <v>63</v>
      </c>
      <c r="L27" s="90">
        <v>45223</v>
      </c>
      <c r="M27" s="90">
        <v>45225</v>
      </c>
      <c r="N27" s="95">
        <f>925.58/2</f>
        <v>462.79</v>
      </c>
      <c r="O27" s="95">
        <f>925.58/2</f>
        <v>462.79</v>
      </c>
      <c r="P27" s="95">
        <f t="shared" si="0"/>
        <v>925.58</v>
      </c>
      <c r="Q27" s="77">
        <v>4</v>
      </c>
      <c r="R27" s="91">
        <v>120</v>
      </c>
      <c r="S27" s="77">
        <v>0</v>
      </c>
      <c r="T27" s="91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7"/>
    </row>
    <row r="28" spans="1:24" s="92" customFormat="1" ht="15">
      <c r="A28" s="322" t="s">
        <v>371</v>
      </c>
      <c r="B28" s="322" t="s">
        <v>371</v>
      </c>
      <c r="C28" s="322" t="s">
        <v>137</v>
      </c>
      <c r="D28" s="47">
        <v>202</v>
      </c>
      <c r="E28" s="322" t="s">
        <v>700</v>
      </c>
      <c r="F28" s="322" t="s">
        <v>783</v>
      </c>
      <c r="G28" s="322" t="s">
        <v>36</v>
      </c>
      <c r="H28" s="322" t="s">
        <v>37</v>
      </c>
      <c r="I28" s="322" t="s">
        <v>38</v>
      </c>
      <c r="J28" s="322" t="s">
        <v>39</v>
      </c>
      <c r="K28" s="322" t="s">
        <v>40</v>
      </c>
      <c r="L28" s="90">
        <v>45223</v>
      </c>
      <c r="M28" s="90">
        <v>45226</v>
      </c>
      <c r="N28" s="95">
        <f t="shared" ref="N28:O30" si="16">2170.64/2</f>
        <v>1085.32</v>
      </c>
      <c r="O28" s="95">
        <f t="shared" si="16"/>
        <v>1085.32</v>
      </c>
      <c r="P28" s="95">
        <f t="shared" si="0"/>
        <v>2170.64</v>
      </c>
      <c r="Q28" s="77">
        <v>4</v>
      </c>
      <c r="R28" s="91">
        <v>120</v>
      </c>
      <c r="S28" s="77">
        <v>0</v>
      </c>
      <c r="T28" s="91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7"/>
    </row>
    <row r="29" spans="1:24" s="92" customFormat="1" ht="15">
      <c r="A29" s="322" t="s">
        <v>371</v>
      </c>
      <c r="B29" s="332" t="s">
        <v>240</v>
      </c>
      <c r="C29" s="322" t="s">
        <v>448</v>
      </c>
      <c r="D29" s="47">
        <v>336</v>
      </c>
      <c r="E29" s="322" t="s">
        <v>294</v>
      </c>
      <c r="F29" s="322" t="s">
        <v>783</v>
      </c>
      <c r="G29" s="322" t="s">
        <v>36</v>
      </c>
      <c r="H29" s="322" t="s">
        <v>37</v>
      </c>
      <c r="I29" s="322" t="s">
        <v>38</v>
      </c>
      <c r="J29" s="322" t="s">
        <v>39</v>
      </c>
      <c r="K29" s="322" t="s">
        <v>40</v>
      </c>
      <c r="L29" s="90">
        <v>45223</v>
      </c>
      <c r="M29" s="90">
        <v>45225</v>
      </c>
      <c r="N29" s="95">
        <f t="shared" si="16"/>
        <v>1085.32</v>
      </c>
      <c r="O29" s="95">
        <f t="shared" si="16"/>
        <v>1085.32</v>
      </c>
      <c r="P29" s="95">
        <f t="shared" si="0"/>
        <v>2170.64</v>
      </c>
      <c r="Q29" s="77">
        <v>3</v>
      </c>
      <c r="R29" s="91">
        <v>120</v>
      </c>
      <c r="S29" s="77">
        <v>0</v>
      </c>
      <c r="T29" s="91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7"/>
    </row>
    <row r="30" spans="1:24" s="92" customFormat="1" ht="15">
      <c r="A30" s="322" t="s">
        <v>371</v>
      </c>
      <c r="B30" s="332" t="s">
        <v>240</v>
      </c>
      <c r="C30" s="322" t="s">
        <v>140</v>
      </c>
      <c r="D30" s="47">
        <v>230</v>
      </c>
      <c r="E30" s="322" t="s">
        <v>709</v>
      </c>
      <c r="F30" s="322" t="s">
        <v>783</v>
      </c>
      <c r="G30" s="322" t="s">
        <v>36</v>
      </c>
      <c r="H30" s="322" t="s">
        <v>37</v>
      </c>
      <c r="I30" s="322" t="s">
        <v>38</v>
      </c>
      <c r="J30" s="322" t="s">
        <v>39</v>
      </c>
      <c r="K30" s="322" t="s">
        <v>40</v>
      </c>
      <c r="L30" s="90">
        <v>45223</v>
      </c>
      <c r="M30" s="90">
        <v>45226</v>
      </c>
      <c r="N30" s="95">
        <f t="shared" si="16"/>
        <v>1085.32</v>
      </c>
      <c r="O30" s="95">
        <f t="shared" si="16"/>
        <v>1085.32</v>
      </c>
      <c r="P30" s="95">
        <f t="shared" si="0"/>
        <v>2170.64</v>
      </c>
      <c r="Q30" s="77">
        <v>4</v>
      </c>
      <c r="R30" s="91">
        <v>120</v>
      </c>
      <c r="S30" s="77">
        <v>0</v>
      </c>
      <c r="T30" s="91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7"/>
    </row>
    <row r="31" spans="1:24" ht="14.25" customHeight="1"/>
    <row r="36" spans="3:6">
      <c r="E36" s="96" t="str">
        <f>UPPER(E45)</f>
        <v>EVENTO REGULATÓRIO COMMIT/MITSUI - QUANTUM</v>
      </c>
    </row>
    <row r="37" spans="3:6">
      <c r="F37" s="96" t="str">
        <f>UPPER(G15)</f>
        <v>NACIONAL</v>
      </c>
    </row>
    <row r="40" spans="3:6">
      <c r="F40" t="s">
        <v>784</v>
      </c>
    </row>
    <row r="41" spans="3:6">
      <c r="C41" t="s">
        <v>785</v>
      </c>
    </row>
    <row r="43" spans="3:6">
      <c r="F43" t="s">
        <v>786</v>
      </c>
    </row>
    <row r="45" spans="3:6">
      <c r="E45" t="s">
        <v>787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231</v>
      </c>
      <c r="B5" s="322" t="s">
        <v>231</v>
      </c>
      <c r="C5" s="322" t="s">
        <v>704</v>
      </c>
      <c r="D5" s="47">
        <v>0</v>
      </c>
      <c r="E5" s="322" t="s">
        <v>562</v>
      </c>
      <c r="F5" s="322" t="s">
        <v>788</v>
      </c>
      <c r="G5" s="322" t="s">
        <v>36</v>
      </c>
      <c r="H5" s="322" t="s">
        <v>37</v>
      </c>
      <c r="I5" s="322" t="s">
        <v>38</v>
      </c>
      <c r="J5" s="322" t="s">
        <v>62</v>
      </c>
      <c r="K5" s="322" t="s">
        <v>63</v>
      </c>
      <c r="L5" s="90">
        <v>45257</v>
      </c>
      <c r="M5" s="90">
        <v>45260</v>
      </c>
      <c r="N5" s="95">
        <f>2296.41/2</f>
        <v>1148.2049999999999</v>
      </c>
      <c r="O5" s="95">
        <f>2296.41/2</f>
        <v>1148.2049999999999</v>
      </c>
      <c r="P5" s="95">
        <f t="shared" ref="P5:P16" si="0">SUM(N5:O5)</f>
        <v>2296.41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7"/>
    </row>
    <row r="6" spans="1:24" s="92" customFormat="1" ht="15">
      <c r="A6" s="322" t="s">
        <v>231</v>
      </c>
      <c r="B6" s="332" t="s">
        <v>366</v>
      </c>
      <c r="C6" s="322" t="s">
        <v>789</v>
      </c>
      <c r="D6" s="47">
        <v>393</v>
      </c>
      <c r="E6" s="323" t="s">
        <v>790</v>
      </c>
      <c r="F6" s="322" t="s">
        <v>788</v>
      </c>
      <c r="G6" s="322" t="s">
        <v>36</v>
      </c>
      <c r="H6" s="322" t="s">
        <v>37</v>
      </c>
      <c r="I6" s="322" t="s">
        <v>38</v>
      </c>
      <c r="J6" s="322" t="s">
        <v>62</v>
      </c>
      <c r="K6" s="322" t="s">
        <v>63</v>
      </c>
      <c r="L6" s="90">
        <v>45257</v>
      </c>
      <c r="M6" s="90">
        <v>45260</v>
      </c>
      <c r="N6" s="95">
        <f>1979.29/2</f>
        <v>989.64499999999998</v>
      </c>
      <c r="O6" s="95">
        <f>1979.29/2</f>
        <v>989.64499999999998</v>
      </c>
      <c r="P6" s="95">
        <f t="shared" si="0"/>
        <v>1979.29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7"/>
    </row>
    <row r="7" spans="1:24" s="92" customFormat="1" ht="15">
      <c r="A7" s="322" t="s">
        <v>231</v>
      </c>
      <c r="B7" s="322" t="s">
        <v>231</v>
      </c>
      <c r="C7" s="322" t="s">
        <v>704</v>
      </c>
      <c r="D7" s="47">
        <v>0</v>
      </c>
      <c r="E7" s="322" t="s">
        <v>562</v>
      </c>
      <c r="F7" s="323" t="s">
        <v>75</v>
      </c>
      <c r="G7" s="322" t="s">
        <v>36</v>
      </c>
      <c r="H7" s="322" t="s">
        <v>37</v>
      </c>
      <c r="I7" s="322" t="s">
        <v>38</v>
      </c>
      <c r="J7" s="322" t="s">
        <v>62</v>
      </c>
      <c r="K7" s="322" t="s">
        <v>63</v>
      </c>
      <c r="L7" s="90">
        <v>45237</v>
      </c>
      <c r="M7" s="90">
        <v>45241</v>
      </c>
      <c r="N7" s="95">
        <f>3464.21/2</f>
        <v>1732.105</v>
      </c>
      <c r="O7" s="95">
        <f>3464.21/2</f>
        <v>1732.105</v>
      </c>
      <c r="P7" s="95">
        <f t="shared" si="0"/>
        <v>3464.21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7"/>
    </row>
    <row r="8" spans="1:24" s="92" customFormat="1" ht="15">
      <c r="A8" s="322" t="s">
        <v>253</v>
      </c>
      <c r="B8" s="332" t="s">
        <v>253</v>
      </c>
      <c r="C8" s="322" t="s">
        <v>387</v>
      </c>
      <c r="D8" s="47">
        <v>0</v>
      </c>
      <c r="E8" s="322" t="s">
        <v>50</v>
      </c>
      <c r="F8" s="322" t="s">
        <v>791</v>
      </c>
      <c r="G8" s="322" t="s">
        <v>36</v>
      </c>
      <c r="H8" s="322" t="s">
        <v>37</v>
      </c>
      <c r="I8" s="322" t="s">
        <v>38</v>
      </c>
      <c r="J8" s="322" t="s">
        <v>62</v>
      </c>
      <c r="K8" s="322" t="s">
        <v>63</v>
      </c>
      <c r="L8" s="90">
        <v>45258</v>
      </c>
      <c r="M8" s="90">
        <v>45259</v>
      </c>
      <c r="N8" s="95">
        <f>4699.52/2</f>
        <v>2349.7600000000002</v>
      </c>
      <c r="O8" s="95">
        <f>4699.52/2</f>
        <v>2349.7600000000002</v>
      </c>
      <c r="P8" s="95">
        <f t="shared" si="0"/>
        <v>4699.5200000000004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7"/>
    </row>
    <row r="9" spans="1:24" s="92" customFormat="1" ht="15">
      <c r="A9" s="322" t="s">
        <v>231</v>
      </c>
      <c r="B9" s="332" t="s">
        <v>231</v>
      </c>
      <c r="C9" s="322" t="s">
        <v>704</v>
      </c>
      <c r="D9" s="47">
        <v>0</v>
      </c>
      <c r="E9" s="322" t="s">
        <v>562</v>
      </c>
      <c r="F9" s="322" t="s">
        <v>792</v>
      </c>
      <c r="G9" s="322" t="s">
        <v>36</v>
      </c>
      <c r="H9" s="322" t="s">
        <v>37</v>
      </c>
      <c r="I9" s="322" t="s">
        <v>38</v>
      </c>
      <c r="J9" s="322" t="s">
        <v>62</v>
      </c>
      <c r="K9" s="322" t="s">
        <v>63</v>
      </c>
      <c r="L9" s="90">
        <v>45236</v>
      </c>
      <c r="M9" s="90">
        <v>45237</v>
      </c>
      <c r="N9" s="95">
        <f>3364.89/2</f>
        <v>1682.4449999999999</v>
      </c>
      <c r="O9" s="95">
        <f>3364.89/2</f>
        <v>1682.4449999999999</v>
      </c>
      <c r="P9" s="95">
        <f t="shared" si="0"/>
        <v>3364.89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7"/>
    </row>
    <row r="10" spans="1:24" s="92" customFormat="1" ht="15">
      <c r="A10" s="322" t="s">
        <v>231</v>
      </c>
      <c r="B10" s="332" t="s">
        <v>215</v>
      </c>
      <c r="C10" s="322" t="s">
        <v>746</v>
      </c>
      <c r="D10" s="47">
        <v>386</v>
      </c>
      <c r="E10" s="322" t="s">
        <v>218</v>
      </c>
      <c r="F10" s="322" t="s">
        <v>793</v>
      </c>
      <c r="G10" s="322" t="s">
        <v>36</v>
      </c>
      <c r="H10" s="322" t="s">
        <v>37</v>
      </c>
      <c r="I10" s="322" t="s">
        <v>38</v>
      </c>
      <c r="J10" s="322" t="s">
        <v>39</v>
      </c>
      <c r="K10" s="322" t="s">
        <v>40</v>
      </c>
      <c r="L10" s="90">
        <v>45253</v>
      </c>
      <c r="M10" s="90">
        <v>45254</v>
      </c>
      <c r="N10" s="95">
        <f>5920.25</f>
        <v>5920.25</v>
      </c>
      <c r="O10" s="95">
        <v>1055.73</v>
      </c>
      <c r="P10" s="95">
        <f t="shared" si="0"/>
        <v>6975.98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7"/>
    </row>
    <row r="11" spans="1:24" s="92" customFormat="1" ht="15">
      <c r="A11" s="322"/>
      <c r="B11" s="332" t="s">
        <v>226</v>
      </c>
      <c r="C11" s="322" t="s">
        <v>46</v>
      </c>
      <c r="D11" s="47">
        <v>232</v>
      </c>
      <c r="E11" s="322" t="s">
        <v>47</v>
      </c>
      <c r="F11" s="322" t="s">
        <v>794</v>
      </c>
      <c r="G11" s="322" t="s">
        <v>36</v>
      </c>
      <c r="H11" s="322" t="s">
        <v>37</v>
      </c>
      <c r="I11" s="322" t="s">
        <v>38</v>
      </c>
      <c r="J11" s="322" t="s">
        <v>104</v>
      </c>
      <c r="K11" s="322" t="s">
        <v>105</v>
      </c>
      <c r="L11" s="90">
        <v>45252</v>
      </c>
      <c r="M11" s="90">
        <v>45254</v>
      </c>
      <c r="N11" s="95">
        <f>2386.3/2</f>
        <v>1193.1500000000001</v>
      </c>
      <c r="O11" s="95">
        <f>2386.3/2</f>
        <v>1193.1500000000001</v>
      </c>
      <c r="P11" s="95">
        <f t="shared" si="0"/>
        <v>2386.3000000000002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7"/>
    </row>
    <row r="12" spans="1:24" s="92" customFormat="1" ht="15">
      <c r="A12" s="322" t="s">
        <v>253</v>
      </c>
      <c r="B12" s="322" t="s">
        <v>212</v>
      </c>
      <c r="C12" s="322" t="s">
        <v>270</v>
      </c>
      <c r="D12" s="47" t="s">
        <v>168</v>
      </c>
      <c r="E12" s="322" t="s">
        <v>599</v>
      </c>
      <c r="F12" s="322" t="s">
        <v>795</v>
      </c>
      <c r="G12" s="322" t="s">
        <v>36</v>
      </c>
      <c r="H12" s="322" t="s">
        <v>37</v>
      </c>
      <c r="I12" s="322" t="s">
        <v>38</v>
      </c>
      <c r="J12" s="322" t="s">
        <v>37</v>
      </c>
      <c r="K12" s="322" t="s">
        <v>391</v>
      </c>
      <c r="L12" s="90">
        <v>45243</v>
      </c>
      <c r="M12" s="90">
        <v>45244</v>
      </c>
      <c r="N12" s="95">
        <f>1429.3/2</f>
        <v>714.65</v>
      </c>
      <c r="O12" s="95">
        <f>1429.3/2</f>
        <v>714.65</v>
      </c>
      <c r="P12" s="95">
        <f t="shared" si="0"/>
        <v>1429.3</v>
      </c>
      <c r="Q12" s="77">
        <v>2</v>
      </c>
      <c r="R12" s="91">
        <v>120</v>
      </c>
      <c r="S12" s="77">
        <v>0</v>
      </c>
      <c r="T12" s="91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7"/>
    </row>
    <row r="13" spans="1:24" s="92" customFormat="1" ht="15">
      <c r="A13" s="322" t="s">
        <v>253</v>
      </c>
      <c r="B13" s="322" t="s">
        <v>259</v>
      </c>
      <c r="C13" s="322" t="s">
        <v>383</v>
      </c>
      <c r="D13" s="47">
        <v>65</v>
      </c>
      <c r="E13" s="322" t="s">
        <v>796</v>
      </c>
      <c r="F13" s="322" t="s">
        <v>797</v>
      </c>
      <c r="G13" s="322" t="s">
        <v>36</v>
      </c>
      <c r="H13" s="322" t="s">
        <v>37</v>
      </c>
      <c r="I13" s="322" t="s">
        <v>38</v>
      </c>
      <c r="J13" s="322" t="s">
        <v>62</v>
      </c>
      <c r="K13" s="322" t="s">
        <v>63</v>
      </c>
      <c r="L13" s="90">
        <v>45236</v>
      </c>
      <c r="M13" s="90">
        <v>45237</v>
      </c>
      <c r="N13" s="95">
        <f>3474.52/2</f>
        <v>1737.26</v>
      </c>
      <c r="O13" s="95">
        <f>3474.52/2</f>
        <v>1737.26</v>
      </c>
      <c r="P13" s="95">
        <f t="shared" si="0"/>
        <v>3474.52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7"/>
    </row>
    <row r="14" spans="1:24" s="92" customFormat="1" ht="15">
      <c r="A14" s="322" t="s">
        <v>253</v>
      </c>
      <c r="B14" s="322" t="s">
        <v>253</v>
      </c>
      <c r="C14" s="322" t="s">
        <v>387</v>
      </c>
      <c r="D14" s="47">
        <v>0</v>
      </c>
      <c r="E14" s="322" t="s">
        <v>50</v>
      </c>
      <c r="F14" s="322" t="s">
        <v>792</v>
      </c>
      <c r="G14" s="322" t="s">
        <v>36</v>
      </c>
      <c r="H14" s="322" t="s">
        <v>37</v>
      </c>
      <c r="I14" s="322" t="s">
        <v>38</v>
      </c>
      <c r="J14" s="322" t="s">
        <v>62</v>
      </c>
      <c r="K14" s="322" t="s">
        <v>63</v>
      </c>
      <c r="L14" s="90">
        <v>45238</v>
      </c>
      <c r="M14" s="90">
        <v>45238</v>
      </c>
      <c r="N14" s="95">
        <f>1687.36/2</f>
        <v>843.68</v>
      </c>
      <c r="O14" s="95">
        <f>1687.36/2</f>
        <v>843.68</v>
      </c>
      <c r="P14" s="95">
        <f t="shared" si="0"/>
        <v>1687.36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7"/>
    </row>
    <row r="15" spans="1:24" s="92" customFormat="1" ht="15">
      <c r="A15" s="322" t="s">
        <v>231</v>
      </c>
      <c r="B15" s="322" t="s">
        <v>231</v>
      </c>
      <c r="C15" s="322" t="s">
        <v>768</v>
      </c>
      <c r="D15" s="47">
        <v>392</v>
      </c>
      <c r="E15" s="322" t="s">
        <v>798</v>
      </c>
      <c r="F15" s="322" t="s">
        <v>792</v>
      </c>
      <c r="G15" s="322" t="s">
        <v>36</v>
      </c>
      <c r="H15" s="322" t="s">
        <v>37</v>
      </c>
      <c r="I15" s="322" t="s">
        <v>38</v>
      </c>
      <c r="J15" s="322" t="s">
        <v>62</v>
      </c>
      <c r="K15" s="322" t="s">
        <v>63</v>
      </c>
      <c r="L15" s="90">
        <v>45236</v>
      </c>
      <c r="M15" s="90">
        <v>45237</v>
      </c>
      <c r="N15" s="95">
        <f>4185.9/2</f>
        <v>2092.9499999999998</v>
      </c>
      <c r="O15" s="95">
        <f>4185.9/2</f>
        <v>2092.9499999999998</v>
      </c>
      <c r="P15" s="95">
        <f t="shared" si="0"/>
        <v>4185.8999999999996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7"/>
    </row>
    <row r="16" spans="1:24" s="92" customFormat="1" ht="15">
      <c r="A16" s="322" t="s">
        <v>231</v>
      </c>
      <c r="B16" s="322" t="s">
        <v>241</v>
      </c>
      <c r="C16" s="322" t="s">
        <v>701</v>
      </c>
      <c r="D16" s="47">
        <v>394</v>
      </c>
      <c r="E16" s="322" t="s">
        <v>702</v>
      </c>
      <c r="F16" s="322" t="s">
        <v>792</v>
      </c>
      <c r="G16" s="322" t="s">
        <v>36</v>
      </c>
      <c r="H16" s="322" t="s">
        <v>37</v>
      </c>
      <c r="I16" s="322" t="s">
        <v>38</v>
      </c>
      <c r="J16" s="322" t="s">
        <v>62</v>
      </c>
      <c r="K16" s="322" t="s">
        <v>63</v>
      </c>
      <c r="L16" s="90">
        <v>45236</v>
      </c>
      <c r="M16" s="90">
        <v>45237</v>
      </c>
      <c r="N16" s="95">
        <f>4185.9/2</f>
        <v>2092.9499999999998</v>
      </c>
      <c r="O16" s="95">
        <f>4185.9/2</f>
        <v>2092.9499999999998</v>
      </c>
      <c r="P16" s="95">
        <f t="shared" si="0"/>
        <v>4185.8999999999996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7"/>
    </row>
    <row r="17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231</v>
      </c>
      <c r="B5" s="322" t="s">
        <v>229</v>
      </c>
      <c r="C5" s="322" t="s">
        <v>729</v>
      </c>
      <c r="D5" s="47">
        <v>387</v>
      </c>
      <c r="E5" s="322" t="s">
        <v>248</v>
      </c>
      <c r="F5" s="322" t="s">
        <v>799</v>
      </c>
      <c r="G5" s="322" t="s">
        <v>36</v>
      </c>
      <c r="H5" s="322" t="s">
        <v>37</v>
      </c>
      <c r="I5" s="322" t="s">
        <v>38</v>
      </c>
      <c r="J5" s="322" t="s">
        <v>39</v>
      </c>
      <c r="K5" s="322" t="s">
        <v>40</v>
      </c>
      <c r="L5" s="90">
        <v>45271</v>
      </c>
      <c r="M5" s="90">
        <v>45272</v>
      </c>
      <c r="N5" s="95">
        <f>1634.81/2</f>
        <v>817.40499999999997</v>
      </c>
      <c r="O5" s="95">
        <f>1634.81/2</f>
        <v>817.40499999999997</v>
      </c>
      <c r="P5" s="95">
        <f t="shared" ref="P5:P10" si="0">SUM(N5:O5)</f>
        <v>1634.81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7"/>
    </row>
    <row r="6" spans="1:24" s="92" customFormat="1" ht="15">
      <c r="A6" s="322" t="s">
        <v>231</v>
      </c>
      <c r="B6" s="322" t="s">
        <v>231</v>
      </c>
      <c r="C6" s="322" t="s">
        <v>704</v>
      </c>
      <c r="D6" s="47">
        <v>0</v>
      </c>
      <c r="E6" s="322" t="s">
        <v>562</v>
      </c>
      <c r="F6" s="322" t="s">
        <v>800</v>
      </c>
      <c r="G6" s="322" t="s">
        <v>36</v>
      </c>
      <c r="H6" s="322" t="s">
        <v>37</v>
      </c>
      <c r="I6" s="322" t="s">
        <v>38</v>
      </c>
      <c r="J6" s="322" t="s">
        <v>62</v>
      </c>
      <c r="K6" s="322" t="s">
        <v>63</v>
      </c>
      <c r="L6" s="90">
        <v>45266</v>
      </c>
      <c r="M6" s="90">
        <v>45268</v>
      </c>
      <c r="N6" s="95">
        <f>2945.25/2</f>
        <v>1472.625</v>
      </c>
      <c r="O6" s="95">
        <f>2945.25/2</f>
        <v>1472.625</v>
      </c>
      <c r="P6" s="95">
        <f t="shared" si="0"/>
        <v>2945.25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7"/>
    </row>
    <row r="7" spans="1:24" s="92" customFormat="1" ht="15">
      <c r="A7" s="322" t="s">
        <v>253</v>
      </c>
      <c r="B7" s="322" t="s">
        <v>253</v>
      </c>
      <c r="C7" s="322" t="s">
        <v>387</v>
      </c>
      <c r="D7" s="47">
        <v>0</v>
      </c>
      <c r="E7" s="322" t="s">
        <v>50</v>
      </c>
      <c r="F7" s="322" t="s">
        <v>801</v>
      </c>
      <c r="G7" s="322" t="s">
        <v>36</v>
      </c>
      <c r="H7" s="322" t="s">
        <v>37</v>
      </c>
      <c r="I7" s="322" t="s">
        <v>38</v>
      </c>
      <c r="J7" s="322" t="s">
        <v>62</v>
      </c>
      <c r="K7" s="322" t="s">
        <v>63</v>
      </c>
      <c r="L7" s="90">
        <v>45273</v>
      </c>
      <c r="M7" s="90">
        <v>45274</v>
      </c>
      <c r="N7" s="95">
        <f>2092/2</f>
        <v>1046</v>
      </c>
      <c r="O7" s="95">
        <f>2092/2</f>
        <v>1046</v>
      </c>
      <c r="P7" s="95">
        <f t="shared" si="0"/>
        <v>2092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7"/>
    </row>
    <row r="8" spans="1:24" s="92" customFormat="1" ht="15">
      <c r="A8" s="322" t="s">
        <v>253</v>
      </c>
      <c r="B8" s="322" t="s">
        <v>259</v>
      </c>
      <c r="C8" s="322" t="s">
        <v>802</v>
      </c>
      <c r="D8" s="47">
        <v>404</v>
      </c>
      <c r="E8" s="322" t="s">
        <v>803</v>
      </c>
      <c r="F8" s="322" t="s">
        <v>800</v>
      </c>
      <c r="G8" s="322" t="s">
        <v>36</v>
      </c>
      <c r="H8" s="322" t="s">
        <v>37</v>
      </c>
      <c r="I8" s="322" t="s">
        <v>38</v>
      </c>
      <c r="J8" s="322" t="s">
        <v>62</v>
      </c>
      <c r="K8" s="322" t="s">
        <v>63</v>
      </c>
      <c r="L8" s="90">
        <v>45267</v>
      </c>
      <c r="M8" s="90">
        <v>45268</v>
      </c>
      <c r="N8" s="95">
        <f>2884/2</f>
        <v>1442</v>
      </c>
      <c r="O8" s="95">
        <f>2884/2</f>
        <v>1442</v>
      </c>
      <c r="P8" s="95">
        <f t="shared" si="0"/>
        <v>2884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7"/>
    </row>
    <row r="9" spans="1:24" s="92" customFormat="1" ht="15">
      <c r="A9" s="322" t="s">
        <v>253</v>
      </c>
      <c r="B9" s="322" t="s">
        <v>212</v>
      </c>
      <c r="C9" s="322" t="s">
        <v>270</v>
      </c>
      <c r="D9" s="47" t="s">
        <v>168</v>
      </c>
      <c r="E9" s="322" t="s">
        <v>599</v>
      </c>
      <c r="F9" s="322" t="s">
        <v>804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391</v>
      </c>
      <c r="L9" s="90">
        <v>45273</v>
      </c>
      <c r="M9" s="90">
        <v>45274</v>
      </c>
      <c r="N9" s="95">
        <f>979.78/2</f>
        <v>489.89</v>
      </c>
      <c r="O9" s="95">
        <f>979.78/2</f>
        <v>489.89</v>
      </c>
      <c r="P9" s="95">
        <f t="shared" si="0"/>
        <v>979.78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7"/>
    </row>
    <row r="10" spans="1:24" s="92" customFormat="1" ht="15">
      <c r="A10" s="322" t="s">
        <v>253</v>
      </c>
      <c r="B10" s="322" t="s">
        <v>212</v>
      </c>
      <c r="C10" s="322" t="s">
        <v>620</v>
      </c>
      <c r="D10" s="47">
        <v>365</v>
      </c>
      <c r="E10" s="322" t="s">
        <v>34</v>
      </c>
      <c r="F10" s="322" t="s">
        <v>804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391</v>
      </c>
      <c r="L10" s="90">
        <v>45273</v>
      </c>
      <c r="M10" s="90">
        <v>45274</v>
      </c>
      <c r="N10" s="95">
        <f>979.78/2</f>
        <v>489.89</v>
      </c>
      <c r="O10" s="95">
        <f>979.78/2</f>
        <v>489.89</v>
      </c>
      <c r="P10" s="95">
        <f t="shared" si="0"/>
        <v>979.78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7"/>
    </row>
    <row r="11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231</v>
      </c>
      <c r="B5" s="322" t="s">
        <v>231</v>
      </c>
      <c r="C5" s="322" t="s">
        <v>704</v>
      </c>
      <c r="D5" s="47">
        <v>0</v>
      </c>
      <c r="E5" s="322" t="s">
        <v>562</v>
      </c>
      <c r="F5" s="322" t="s">
        <v>805</v>
      </c>
      <c r="G5" s="322" t="s">
        <v>36</v>
      </c>
      <c r="H5" s="322" t="s">
        <v>37</v>
      </c>
      <c r="I5" s="322" t="s">
        <v>38</v>
      </c>
      <c r="J5" s="322" t="s">
        <v>62</v>
      </c>
      <c r="K5" s="322" t="s">
        <v>63</v>
      </c>
      <c r="L5" s="90">
        <v>45300</v>
      </c>
      <c r="M5" s="90">
        <v>45303</v>
      </c>
      <c r="N5" s="95">
        <f>3367.92/2</f>
        <v>1683.96</v>
      </c>
      <c r="O5" s="95">
        <f>3367.92/2</f>
        <v>1683.96</v>
      </c>
      <c r="P5" s="95">
        <f t="shared" ref="P5:P7" si="0">SUM(N5:O5)</f>
        <v>3367.92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7"/>
    </row>
    <row r="6" spans="1:24" s="92" customFormat="1" ht="15">
      <c r="A6" s="322" t="s">
        <v>371</v>
      </c>
      <c r="B6" s="322" t="s">
        <v>240</v>
      </c>
      <c r="C6" s="322" t="s">
        <v>448</v>
      </c>
      <c r="D6" s="47">
        <v>336</v>
      </c>
      <c r="E6" s="322" t="s">
        <v>294</v>
      </c>
      <c r="F6" s="322" t="s">
        <v>740</v>
      </c>
      <c r="G6" s="322" t="s">
        <v>36</v>
      </c>
      <c r="H6" s="322" t="s">
        <v>37</v>
      </c>
      <c r="I6" s="322" t="s">
        <v>38</v>
      </c>
      <c r="J6" s="322" t="s">
        <v>39</v>
      </c>
      <c r="K6" s="322" t="s">
        <v>40</v>
      </c>
      <c r="L6" s="90">
        <v>45312</v>
      </c>
      <c r="M6" s="90">
        <v>45313</v>
      </c>
      <c r="N6" s="95">
        <f>1485.78/2</f>
        <v>742.89</v>
      </c>
      <c r="O6" s="95">
        <f>1485.78/2</f>
        <v>742.89</v>
      </c>
      <c r="P6" s="95">
        <f t="shared" si="0"/>
        <v>1485.78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7"/>
    </row>
    <row r="7" spans="1:24" s="92" customFormat="1" ht="15">
      <c r="A7" s="322" t="s">
        <v>231</v>
      </c>
      <c r="B7" s="322" t="s">
        <v>215</v>
      </c>
      <c r="C7" s="322" t="s">
        <v>746</v>
      </c>
      <c r="D7" s="47">
        <v>386</v>
      </c>
      <c r="E7" s="322" t="s">
        <v>218</v>
      </c>
      <c r="F7" s="322" t="s">
        <v>740</v>
      </c>
      <c r="G7" s="322" t="s">
        <v>36</v>
      </c>
      <c r="H7" s="322" t="s">
        <v>37</v>
      </c>
      <c r="I7" s="322" t="s">
        <v>38</v>
      </c>
      <c r="J7" s="322" t="s">
        <v>39</v>
      </c>
      <c r="K7" s="322" t="s">
        <v>40</v>
      </c>
      <c r="L7" s="90">
        <v>45312</v>
      </c>
      <c r="M7" s="90">
        <v>45313</v>
      </c>
      <c r="N7" s="95">
        <f>1558.31/2</f>
        <v>779.15499999999997</v>
      </c>
      <c r="O7" s="95">
        <f>1558.31/2</f>
        <v>779.15499999999997</v>
      </c>
      <c r="P7" s="95">
        <f t="shared" si="0"/>
        <v>1558.31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7"/>
    </row>
    <row r="8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30">
      <c r="A5" s="322" t="s">
        <v>231</v>
      </c>
      <c r="B5" s="322" t="s">
        <v>231</v>
      </c>
      <c r="C5" s="322" t="s">
        <v>704</v>
      </c>
      <c r="D5" s="47">
        <v>0</v>
      </c>
      <c r="E5" s="322" t="s">
        <v>562</v>
      </c>
      <c r="F5" s="323" t="s">
        <v>806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90">
        <v>45327</v>
      </c>
      <c r="M5" s="90">
        <v>45329</v>
      </c>
      <c r="N5" s="95">
        <f>1227.84/2</f>
        <v>613.91999999999996</v>
      </c>
      <c r="O5" s="95">
        <f>1227.84/2</f>
        <v>613.91999999999996</v>
      </c>
      <c r="P5" s="95">
        <f t="shared" ref="P5:P10" si="0">SUM(N5:O5)</f>
        <v>1227.8399999999999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7"/>
    </row>
    <row r="6" spans="1:24" s="92" customFormat="1" ht="30">
      <c r="A6" s="322" t="s">
        <v>253</v>
      </c>
      <c r="B6" s="322" t="s">
        <v>253</v>
      </c>
      <c r="C6" s="322" t="s">
        <v>675</v>
      </c>
      <c r="D6" s="47">
        <v>383</v>
      </c>
      <c r="E6" s="322" t="s">
        <v>698</v>
      </c>
      <c r="F6" s="323" t="s">
        <v>806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90">
        <v>45327</v>
      </c>
      <c r="M6" s="90">
        <v>45329</v>
      </c>
      <c r="N6" s="95">
        <f>1204.78/2</f>
        <v>602.39</v>
      </c>
      <c r="O6" s="95">
        <f>1204.78/2</f>
        <v>602.39</v>
      </c>
      <c r="P6" s="95">
        <f t="shared" si="0"/>
        <v>1204.78</v>
      </c>
      <c r="Q6" s="77">
        <v>3</v>
      </c>
      <c r="R6" s="91">
        <v>120</v>
      </c>
      <c r="S6" s="77">
        <v>0</v>
      </c>
      <c r="T6" s="91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7"/>
    </row>
    <row r="7" spans="1:24" s="92" customFormat="1" ht="30">
      <c r="A7" s="322" t="s">
        <v>253</v>
      </c>
      <c r="B7" s="322" t="s">
        <v>259</v>
      </c>
      <c r="C7" s="322" t="s">
        <v>802</v>
      </c>
      <c r="D7" s="47">
        <v>404</v>
      </c>
      <c r="E7" s="322" t="s">
        <v>803</v>
      </c>
      <c r="F7" s="323" t="s">
        <v>806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90">
        <v>45327</v>
      </c>
      <c r="M7" s="90">
        <v>45329</v>
      </c>
      <c r="N7" s="95">
        <f>1204.78/2</f>
        <v>602.39</v>
      </c>
      <c r="O7" s="95">
        <f>1204.78/2</f>
        <v>602.39</v>
      </c>
      <c r="P7" s="95">
        <f t="shared" si="0"/>
        <v>1204.78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7"/>
    </row>
    <row r="8" spans="1:24" s="92" customFormat="1" ht="30">
      <c r="A8" s="322" t="s">
        <v>231</v>
      </c>
      <c r="B8" s="322" t="s">
        <v>215</v>
      </c>
      <c r="C8" s="322" t="s">
        <v>746</v>
      </c>
      <c r="D8" s="47">
        <v>386</v>
      </c>
      <c r="E8" s="322" t="s">
        <v>218</v>
      </c>
      <c r="F8" s="323" t="s">
        <v>806</v>
      </c>
      <c r="G8" s="322" t="s">
        <v>36</v>
      </c>
      <c r="H8" s="322" t="s">
        <v>37</v>
      </c>
      <c r="I8" s="322" t="s">
        <v>38</v>
      </c>
      <c r="J8" s="322" t="s">
        <v>37</v>
      </c>
      <c r="K8" s="322" t="s">
        <v>391</v>
      </c>
      <c r="L8" s="90">
        <v>45327</v>
      </c>
      <c r="M8" s="90">
        <v>45329</v>
      </c>
      <c r="N8" s="95">
        <f>1227.84/2</f>
        <v>613.91999999999996</v>
      </c>
      <c r="O8" s="95">
        <f>1227.84/2</f>
        <v>613.91999999999996</v>
      </c>
      <c r="P8" s="95">
        <f t="shared" si="0"/>
        <v>1227.8399999999999</v>
      </c>
      <c r="Q8" s="77">
        <v>3</v>
      </c>
      <c r="R8" s="91">
        <v>120</v>
      </c>
      <c r="S8" s="77">
        <v>0</v>
      </c>
      <c r="T8" s="91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7"/>
    </row>
    <row r="9" spans="1:24" s="92" customFormat="1" ht="30">
      <c r="A9" s="322" t="s">
        <v>253</v>
      </c>
      <c r="B9" s="322" t="s">
        <v>764</v>
      </c>
      <c r="C9" s="322" t="s">
        <v>731</v>
      </c>
      <c r="D9" s="47">
        <v>390</v>
      </c>
      <c r="E9" s="322" t="s">
        <v>765</v>
      </c>
      <c r="F9" s="323" t="s">
        <v>806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391</v>
      </c>
      <c r="L9" s="90">
        <v>45327</v>
      </c>
      <c r="M9" s="90">
        <v>45329</v>
      </c>
      <c r="N9" s="95">
        <f>1517.71/2</f>
        <v>758.85500000000002</v>
      </c>
      <c r="O9" s="95">
        <f>1517.71/2</f>
        <v>758.85500000000002</v>
      </c>
      <c r="P9" s="95">
        <f t="shared" si="0"/>
        <v>1517.71</v>
      </c>
      <c r="Q9" s="77">
        <v>3</v>
      </c>
      <c r="R9" s="91">
        <v>120</v>
      </c>
      <c r="S9" s="77">
        <v>0</v>
      </c>
      <c r="T9" s="91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7"/>
    </row>
    <row r="10" spans="1:24" s="92" customFormat="1" ht="30">
      <c r="A10" s="322" t="s">
        <v>231</v>
      </c>
      <c r="B10" s="322" t="s">
        <v>231</v>
      </c>
      <c r="C10" s="322" t="s">
        <v>768</v>
      </c>
      <c r="D10" s="47">
        <v>392</v>
      </c>
      <c r="E10" s="322" t="s">
        <v>769</v>
      </c>
      <c r="F10" s="323" t="s">
        <v>806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391</v>
      </c>
      <c r="L10" s="90">
        <v>45327</v>
      </c>
      <c r="M10" s="90">
        <v>45329</v>
      </c>
      <c r="N10" s="95">
        <f>1517.71/2</f>
        <v>758.85500000000002</v>
      </c>
      <c r="O10" s="95">
        <f>1517.71/2</f>
        <v>758.85500000000002</v>
      </c>
      <c r="P10" s="95">
        <f t="shared" si="0"/>
        <v>1517.71</v>
      </c>
      <c r="Q10" s="77">
        <v>3</v>
      </c>
      <c r="R10" s="91">
        <v>120</v>
      </c>
      <c r="S10" s="77">
        <v>0</v>
      </c>
      <c r="T10" s="91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7"/>
    </row>
    <row r="11" spans="1:24" s="92" customFormat="1" ht="15">
      <c r="A11" s="322" t="s">
        <v>231</v>
      </c>
      <c r="B11" s="322" t="s">
        <v>231</v>
      </c>
      <c r="C11" s="322" t="s">
        <v>704</v>
      </c>
      <c r="D11" s="47">
        <v>0</v>
      </c>
      <c r="E11" s="322" t="s">
        <v>562</v>
      </c>
      <c r="F11" s="323" t="s">
        <v>807</v>
      </c>
      <c r="G11" s="322" t="s">
        <v>36</v>
      </c>
      <c r="H11" s="322" t="s">
        <v>37</v>
      </c>
      <c r="I11" s="322" t="s">
        <v>38</v>
      </c>
      <c r="J11" s="322" t="s">
        <v>62</v>
      </c>
      <c r="K11" s="322" t="s">
        <v>63</v>
      </c>
      <c r="L11" s="90">
        <v>45347</v>
      </c>
      <c r="M11" s="90">
        <v>46446</v>
      </c>
      <c r="N11" s="95">
        <f>1464.87/2</f>
        <v>732.43499999999995</v>
      </c>
      <c r="O11" s="95">
        <f>1464.87/2</f>
        <v>732.43499999999995</v>
      </c>
      <c r="P11" s="95">
        <f t="shared" ref="P11" si="7">SUM(N11:O11)</f>
        <v>1464.87</v>
      </c>
      <c r="Q11" s="77">
        <v>0</v>
      </c>
      <c r="R11" s="91">
        <v>120</v>
      </c>
      <c r="S11" s="77">
        <v>0</v>
      </c>
      <c r="T11" s="91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7"/>
    </row>
    <row r="12" spans="1:24" s="92" customFormat="1" ht="15">
      <c r="A12" s="322" t="s">
        <v>253</v>
      </c>
      <c r="B12" s="322" t="s">
        <v>253</v>
      </c>
      <c r="C12" s="322" t="s">
        <v>387</v>
      </c>
      <c r="D12" s="47">
        <v>0</v>
      </c>
      <c r="E12" s="322" t="s">
        <v>50</v>
      </c>
      <c r="F12" s="323" t="s">
        <v>808</v>
      </c>
      <c r="G12" s="322" t="s">
        <v>36</v>
      </c>
      <c r="H12" s="322" t="s">
        <v>37</v>
      </c>
      <c r="I12" s="322" t="s">
        <v>38</v>
      </c>
      <c r="J12" s="322" t="s">
        <v>37</v>
      </c>
      <c r="K12" s="322" t="s">
        <v>391</v>
      </c>
      <c r="L12" s="90">
        <v>45349</v>
      </c>
      <c r="M12" s="90">
        <v>45351</v>
      </c>
      <c r="N12" s="95">
        <f>1122.64/2</f>
        <v>561.32000000000005</v>
      </c>
      <c r="O12" s="95">
        <f>1122.64/2</f>
        <v>561.32000000000005</v>
      </c>
      <c r="P12" s="95">
        <f t="shared" ref="P12:P16" si="11">SUM(N12:O12)</f>
        <v>1122.6400000000001</v>
      </c>
      <c r="Q12" s="77">
        <v>0</v>
      </c>
      <c r="R12" s="91">
        <v>120</v>
      </c>
      <c r="S12" s="77">
        <v>0</v>
      </c>
      <c r="T12" s="91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7"/>
    </row>
    <row r="13" spans="1:24" s="92" customFormat="1" ht="15">
      <c r="A13" s="322" t="s">
        <v>253</v>
      </c>
      <c r="B13" s="322" t="s">
        <v>212</v>
      </c>
      <c r="C13" s="322" t="s">
        <v>41</v>
      </c>
      <c r="D13" s="47">
        <v>129</v>
      </c>
      <c r="E13" s="322" t="s">
        <v>809</v>
      </c>
      <c r="F13" s="323" t="s">
        <v>808</v>
      </c>
      <c r="G13" s="322" t="s">
        <v>36</v>
      </c>
      <c r="H13" s="322" t="s">
        <v>37</v>
      </c>
      <c r="I13" s="322" t="s">
        <v>38</v>
      </c>
      <c r="J13" s="322" t="s">
        <v>37</v>
      </c>
      <c r="K13" s="322" t="s">
        <v>391</v>
      </c>
      <c r="L13" s="90">
        <v>45349</v>
      </c>
      <c r="M13" s="90">
        <v>45351</v>
      </c>
      <c r="N13" s="95">
        <f>1122.63/2</f>
        <v>561.31500000000005</v>
      </c>
      <c r="O13" s="95">
        <f>1122.63/2</f>
        <v>561.31500000000005</v>
      </c>
      <c r="P13" s="95">
        <f t="shared" si="11"/>
        <v>1122.6300000000001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7"/>
    </row>
    <row r="14" spans="1:24" s="92" customFormat="1" ht="15">
      <c r="A14" s="322" t="s">
        <v>253</v>
      </c>
      <c r="B14" s="322" t="s">
        <v>212</v>
      </c>
      <c r="C14" s="322" t="s">
        <v>620</v>
      </c>
      <c r="D14" s="47">
        <v>365</v>
      </c>
      <c r="E14" s="322" t="s">
        <v>34</v>
      </c>
      <c r="F14" s="323" t="s">
        <v>808</v>
      </c>
      <c r="G14" s="322" t="s">
        <v>36</v>
      </c>
      <c r="H14" s="322" t="s">
        <v>37</v>
      </c>
      <c r="I14" s="322" t="s">
        <v>38</v>
      </c>
      <c r="J14" s="322" t="s">
        <v>37</v>
      </c>
      <c r="K14" s="322" t="s">
        <v>391</v>
      </c>
      <c r="L14" s="90">
        <v>45349</v>
      </c>
      <c r="M14" s="90">
        <v>45351</v>
      </c>
      <c r="N14" s="95">
        <f>1122.64/2</f>
        <v>561.32000000000005</v>
      </c>
      <c r="O14" s="95">
        <f>1122.64/2</f>
        <v>561.32000000000005</v>
      </c>
      <c r="P14" s="95">
        <f t="shared" si="11"/>
        <v>1122.6400000000001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7"/>
    </row>
    <row r="15" spans="1:24" s="92" customFormat="1" ht="15">
      <c r="A15" s="322" t="s">
        <v>253</v>
      </c>
      <c r="B15" s="322" t="s">
        <v>212</v>
      </c>
      <c r="C15" s="322" t="s">
        <v>270</v>
      </c>
      <c r="D15" s="47" t="s">
        <v>168</v>
      </c>
      <c r="E15" s="322" t="s">
        <v>599</v>
      </c>
      <c r="F15" s="323" t="s">
        <v>808</v>
      </c>
      <c r="G15" s="322" t="s">
        <v>36</v>
      </c>
      <c r="H15" s="322" t="s">
        <v>37</v>
      </c>
      <c r="I15" s="322" t="s">
        <v>38</v>
      </c>
      <c r="J15" s="322" t="s">
        <v>37</v>
      </c>
      <c r="K15" s="322" t="s">
        <v>391</v>
      </c>
      <c r="L15" s="90">
        <v>45349</v>
      </c>
      <c r="M15" s="90">
        <v>45351</v>
      </c>
      <c r="N15" s="95">
        <f>1122.64/2</f>
        <v>561.32000000000005</v>
      </c>
      <c r="O15" s="95">
        <f>1122.64/2</f>
        <v>561.32000000000005</v>
      </c>
      <c r="P15" s="95">
        <f t="shared" si="11"/>
        <v>1122.6400000000001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7"/>
    </row>
    <row r="16" spans="1:24" s="92" customFormat="1" ht="15">
      <c r="A16" s="322" t="s">
        <v>253</v>
      </c>
      <c r="B16" s="322" t="s">
        <v>322</v>
      </c>
      <c r="C16" s="322" t="s">
        <v>327</v>
      </c>
      <c r="D16" s="47">
        <v>87</v>
      </c>
      <c r="E16" s="322" t="s">
        <v>329</v>
      </c>
      <c r="F16" s="323" t="s">
        <v>808</v>
      </c>
      <c r="G16" s="322" t="s">
        <v>36</v>
      </c>
      <c r="H16" s="322" t="s">
        <v>37</v>
      </c>
      <c r="I16" s="322" t="s">
        <v>38</v>
      </c>
      <c r="J16" s="322" t="s">
        <v>37</v>
      </c>
      <c r="K16" s="322" t="s">
        <v>391</v>
      </c>
      <c r="L16" s="90">
        <v>45349</v>
      </c>
      <c r="M16" s="90">
        <v>45351</v>
      </c>
      <c r="N16" s="95">
        <f>2726.78/2</f>
        <v>1363.39</v>
      </c>
      <c r="O16" s="95">
        <f>2726.78/2</f>
        <v>1363.39</v>
      </c>
      <c r="P16" s="95">
        <f t="shared" si="11"/>
        <v>2726.78</v>
      </c>
      <c r="Q16" s="77">
        <v>3</v>
      </c>
      <c r="R16" s="91">
        <v>120</v>
      </c>
      <c r="S16" s="77">
        <v>0</v>
      </c>
      <c r="T16" s="91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7"/>
    </row>
    <row r="17" spans="1:24" s="92" customFormat="1" ht="15">
      <c r="A17" s="322" t="s">
        <v>253</v>
      </c>
      <c r="B17" s="322" t="s">
        <v>253</v>
      </c>
      <c r="C17" s="322" t="s">
        <v>675</v>
      </c>
      <c r="D17" s="47">
        <v>383</v>
      </c>
      <c r="E17" s="322" t="s">
        <v>698</v>
      </c>
      <c r="F17" s="323" t="s">
        <v>810</v>
      </c>
      <c r="G17" s="322" t="s">
        <v>36</v>
      </c>
      <c r="H17" s="322" t="s">
        <v>37</v>
      </c>
      <c r="I17" s="322" t="s">
        <v>38</v>
      </c>
      <c r="J17" s="322" t="s">
        <v>62</v>
      </c>
      <c r="K17" s="322" t="s">
        <v>414</v>
      </c>
      <c r="L17" s="90">
        <v>45342</v>
      </c>
      <c r="M17" s="90">
        <v>45343</v>
      </c>
      <c r="N17" s="95">
        <f>2941.87/2</f>
        <v>1470.9349999999999</v>
      </c>
      <c r="O17" s="95">
        <f>2941.87/2</f>
        <v>1470.9349999999999</v>
      </c>
      <c r="P17" s="95">
        <f t="shared" ref="P17" si="15">SUM(N17:O17)</f>
        <v>2941.87</v>
      </c>
      <c r="Q17" s="77">
        <v>2</v>
      </c>
      <c r="R17" s="91">
        <v>120</v>
      </c>
      <c r="S17" s="77">
        <v>0</v>
      </c>
      <c r="T17" s="91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7"/>
    </row>
    <row r="18" spans="1:24" s="92" customFormat="1" ht="15">
      <c r="A18" s="322" t="s">
        <v>253</v>
      </c>
      <c r="B18" s="322" t="s">
        <v>288</v>
      </c>
      <c r="C18" s="322" t="s">
        <v>237</v>
      </c>
      <c r="D18" s="47">
        <v>82</v>
      </c>
      <c r="E18" s="322" t="s">
        <v>84</v>
      </c>
      <c r="F18" s="323" t="s">
        <v>810</v>
      </c>
      <c r="G18" s="322" t="s">
        <v>36</v>
      </c>
      <c r="H18" s="322" t="s">
        <v>37</v>
      </c>
      <c r="I18" s="322" t="s">
        <v>38</v>
      </c>
      <c r="J18" s="322" t="s">
        <v>62</v>
      </c>
      <c r="K18" s="322" t="s">
        <v>414</v>
      </c>
      <c r="L18" s="90">
        <v>45342</v>
      </c>
      <c r="M18" s="90">
        <v>45343</v>
      </c>
      <c r="N18" s="95">
        <f>2941.87/2</f>
        <v>1470.9349999999999</v>
      </c>
      <c r="O18" s="95">
        <f>2941.87/2</f>
        <v>1470.9349999999999</v>
      </c>
      <c r="P18" s="95">
        <f t="shared" ref="P18" si="19">SUM(N18:O18)</f>
        <v>2941.87</v>
      </c>
      <c r="Q18" s="77">
        <v>2</v>
      </c>
      <c r="R18" s="91">
        <v>120</v>
      </c>
      <c r="S18" s="77">
        <v>0</v>
      </c>
      <c r="T18" s="91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7"/>
    </row>
    <row r="19" spans="1:24" s="92" customFormat="1" ht="15">
      <c r="A19" s="322" t="s">
        <v>231</v>
      </c>
      <c r="B19" s="322" t="s">
        <v>215</v>
      </c>
      <c r="C19" s="322" t="s">
        <v>746</v>
      </c>
      <c r="D19" s="47">
        <v>386</v>
      </c>
      <c r="E19" s="322" t="s">
        <v>218</v>
      </c>
      <c r="F19" s="323" t="s">
        <v>811</v>
      </c>
      <c r="G19" s="322" t="s">
        <v>36</v>
      </c>
      <c r="H19" s="322" t="s">
        <v>37</v>
      </c>
      <c r="I19" s="322" t="s">
        <v>38</v>
      </c>
      <c r="J19" s="322" t="s">
        <v>39</v>
      </c>
      <c r="K19" s="322" t="s">
        <v>40</v>
      </c>
      <c r="L19" s="90">
        <v>45349</v>
      </c>
      <c r="M19" s="90">
        <v>45350</v>
      </c>
      <c r="N19" s="95">
        <f>3223.89/2</f>
        <v>1611.9449999999999</v>
      </c>
      <c r="O19" s="95">
        <f>3223.89/2</f>
        <v>1611.9449999999999</v>
      </c>
      <c r="P19" s="95">
        <f t="shared" ref="P19" si="23">SUM(N19:O19)</f>
        <v>3223.89</v>
      </c>
      <c r="Q19" s="77">
        <v>2</v>
      </c>
      <c r="R19" s="91">
        <v>120</v>
      </c>
      <c r="S19" s="77">
        <v>0</v>
      </c>
      <c r="T19" s="91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7"/>
    </row>
    <row r="20" spans="1:24" ht="15">
      <c r="A20" s="327" t="s">
        <v>231</v>
      </c>
      <c r="B20" s="327" t="s">
        <v>231</v>
      </c>
      <c r="C20" s="329" t="s">
        <v>704</v>
      </c>
      <c r="D20" s="256">
        <v>0</v>
      </c>
      <c r="E20" s="327" t="s">
        <v>562</v>
      </c>
      <c r="F20" s="260" t="s">
        <v>812</v>
      </c>
      <c r="G20" s="322" t="s">
        <v>36</v>
      </c>
      <c r="H20" s="322" t="s">
        <v>37</v>
      </c>
      <c r="I20" s="322" t="s">
        <v>38</v>
      </c>
      <c r="J20" s="322" t="s">
        <v>127</v>
      </c>
      <c r="K20" s="322" t="s">
        <v>63</v>
      </c>
      <c r="L20" s="94">
        <v>45347</v>
      </c>
      <c r="M20" s="94">
        <v>45349</v>
      </c>
      <c r="N20" s="252">
        <f>(1185.19+2838.3)/3</f>
        <v>1341.1633333333334</v>
      </c>
      <c r="O20" s="252">
        <f>(1185.19+2838.3)/3</f>
        <v>1341.1633333333334</v>
      </c>
      <c r="P20" s="252">
        <f>SUM(N20:O22)</f>
        <v>2682.3266666666668</v>
      </c>
      <c r="Q20" s="263">
        <v>0</v>
      </c>
      <c r="R20" s="252">
        <v>0</v>
      </c>
      <c r="S20" s="263">
        <v>0</v>
      </c>
      <c r="T20" s="252">
        <v>0</v>
      </c>
      <c r="U20" s="263">
        <v>0</v>
      </c>
      <c r="V20" s="247">
        <f t="shared" si="25"/>
        <v>2682.3266666666668</v>
      </c>
      <c r="W20" s="247">
        <f t="shared" si="26"/>
        <v>2682.3266666666668</v>
      </c>
      <c r="X20" s="246"/>
    </row>
    <row r="21" spans="1:24" ht="15">
      <c r="A21" s="330"/>
      <c r="B21" s="330"/>
      <c r="C21" s="329"/>
      <c r="D21" s="257"/>
      <c r="E21" s="330"/>
      <c r="F21" s="261"/>
      <c r="G21" s="322" t="s">
        <v>36</v>
      </c>
      <c r="H21" s="322" t="s">
        <v>127</v>
      </c>
      <c r="I21" s="322" t="s">
        <v>63</v>
      </c>
      <c r="J21" s="322" t="s">
        <v>39</v>
      </c>
      <c r="K21" s="322" t="s">
        <v>40</v>
      </c>
      <c r="L21" s="94">
        <v>45349</v>
      </c>
      <c r="M21" s="94">
        <v>45350</v>
      </c>
      <c r="N21" s="259"/>
      <c r="O21" s="259"/>
      <c r="P21" s="259"/>
      <c r="Q21" s="263"/>
      <c r="R21" s="259"/>
      <c r="S21" s="263"/>
      <c r="T21" s="259"/>
      <c r="U21" s="263"/>
      <c r="V21" s="264"/>
      <c r="W21" s="264"/>
      <c r="X21" s="246"/>
    </row>
    <row r="22" spans="1:24" ht="15">
      <c r="A22" s="328"/>
      <c r="B22" s="328"/>
      <c r="C22" s="329"/>
      <c r="D22" s="258"/>
      <c r="E22" s="328"/>
      <c r="F22" s="262"/>
      <c r="G22" s="322" t="s">
        <v>36</v>
      </c>
      <c r="H22" s="322" t="s">
        <v>39</v>
      </c>
      <c r="I22" s="322" t="s">
        <v>40</v>
      </c>
      <c r="J22" s="322" t="s">
        <v>37</v>
      </c>
      <c r="K22" s="322" t="s">
        <v>38</v>
      </c>
      <c r="L22" s="94">
        <v>45350</v>
      </c>
      <c r="M22" s="94">
        <v>45350</v>
      </c>
      <c r="N22" s="253"/>
      <c r="O22" s="253"/>
      <c r="P22" s="253"/>
      <c r="Q22" s="263"/>
      <c r="R22" s="253"/>
      <c r="S22" s="263"/>
      <c r="T22" s="253"/>
      <c r="U22" s="263"/>
      <c r="V22" s="248"/>
      <c r="W22" s="248"/>
      <c r="X22" s="246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253</v>
      </c>
      <c r="B5" s="322" t="s">
        <v>253</v>
      </c>
      <c r="C5" s="322" t="s">
        <v>387</v>
      </c>
      <c r="D5" s="47">
        <v>0</v>
      </c>
      <c r="E5" s="322" t="s">
        <v>50</v>
      </c>
      <c r="F5" s="323" t="s">
        <v>813</v>
      </c>
      <c r="G5" s="322" t="s">
        <v>36</v>
      </c>
      <c r="H5" s="322" t="s">
        <v>37</v>
      </c>
      <c r="I5" s="322" t="s">
        <v>38</v>
      </c>
      <c r="J5" s="322" t="s">
        <v>339</v>
      </c>
      <c r="K5" s="322" t="s">
        <v>340</v>
      </c>
      <c r="L5" s="90">
        <v>45362</v>
      </c>
      <c r="M5" s="90">
        <v>45364</v>
      </c>
      <c r="N5" s="95">
        <f t="shared" ref="N5:O7" si="0">3822.16/2</f>
        <v>1911.08</v>
      </c>
      <c r="O5" s="95">
        <f t="shared" si="0"/>
        <v>1911.08</v>
      </c>
      <c r="P5" s="95">
        <f t="shared" ref="P5:P16" si="1">SUM(N5:O5)</f>
        <v>3822.16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7"/>
    </row>
    <row r="6" spans="1:24" s="92" customFormat="1" ht="15">
      <c r="A6" s="322" t="s">
        <v>253</v>
      </c>
      <c r="B6" s="322" t="s">
        <v>259</v>
      </c>
      <c r="C6" s="322" t="s">
        <v>802</v>
      </c>
      <c r="D6" s="47">
        <v>404</v>
      </c>
      <c r="E6" s="322" t="s">
        <v>803</v>
      </c>
      <c r="F6" s="323" t="s">
        <v>813</v>
      </c>
      <c r="G6" s="322" t="s">
        <v>36</v>
      </c>
      <c r="H6" s="322" t="s">
        <v>37</v>
      </c>
      <c r="I6" s="322" t="s">
        <v>38</v>
      </c>
      <c r="J6" s="322" t="s">
        <v>339</v>
      </c>
      <c r="K6" s="322" t="s">
        <v>340</v>
      </c>
      <c r="L6" s="90">
        <v>45362</v>
      </c>
      <c r="M6" s="90">
        <v>45364</v>
      </c>
      <c r="N6" s="95">
        <f t="shared" si="0"/>
        <v>1911.08</v>
      </c>
      <c r="O6" s="95">
        <f t="shared" si="0"/>
        <v>1911.08</v>
      </c>
      <c r="P6" s="95">
        <f t="shared" si="1"/>
        <v>3822.16</v>
      </c>
      <c r="Q6" s="77">
        <v>3</v>
      </c>
      <c r="R6" s="91">
        <v>120</v>
      </c>
      <c r="S6" s="77">
        <v>0</v>
      </c>
      <c r="T6" s="91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7"/>
    </row>
    <row r="7" spans="1:24" s="92" customFormat="1" ht="15">
      <c r="A7" s="322" t="s">
        <v>253</v>
      </c>
      <c r="B7" s="322" t="s">
        <v>253</v>
      </c>
      <c r="C7" s="322" t="s">
        <v>675</v>
      </c>
      <c r="D7" s="47">
        <v>383</v>
      </c>
      <c r="E7" s="322" t="s">
        <v>698</v>
      </c>
      <c r="F7" s="323" t="s">
        <v>813</v>
      </c>
      <c r="G7" s="322" t="s">
        <v>36</v>
      </c>
      <c r="H7" s="322" t="s">
        <v>37</v>
      </c>
      <c r="I7" s="322" t="s">
        <v>38</v>
      </c>
      <c r="J7" s="322" t="s">
        <v>339</v>
      </c>
      <c r="K7" s="322" t="s">
        <v>340</v>
      </c>
      <c r="L7" s="90">
        <v>45362</v>
      </c>
      <c r="M7" s="90">
        <v>45364</v>
      </c>
      <c r="N7" s="95">
        <f t="shared" si="0"/>
        <v>1911.08</v>
      </c>
      <c r="O7" s="95">
        <f t="shared" si="0"/>
        <v>1911.08</v>
      </c>
      <c r="P7" s="95">
        <f t="shared" si="1"/>
        <v>3822.16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7"/>
    </row>
    <row r="8" spans="1:24" s="92" customFormat="1" ht="15">
      <c r="A8" s="322" t="s">
        <v>231</v>
      </c>
      <c r="B8" s="322" t="s">
        <v>221</v>
      </c>
      <c r="C8" s="322" t="s">
        <v>54</v>
      </c>
      <c r="D8" s="47">
        <v>56</v>
      </c>
      <c r="E8" s="322" t="s">
        <v>610</v>
      </c>
      <c r="F8" s="323" t="s">
        <v>814</v>
      </c>
      <c r="G8" s="322" t="s">
        <v>36</v>
      </c>
      <c r="H8" s="322" t="s">
        <v>37</v>
      </c>
      <c r="I8" s="322" t="s">
        <v>38</v>
      </c>
      <c r="J8" s="322" t="s">
        <v>62</v>
      </c>
      <c r="K8" s="322" t="s">
        <v>63</v>
      </c>
      <c r="L8" s="90">
        <v>45357</v>
      </c>
      <c r="M8" s="90">
        <v>45359</v>
      </c>
      <c r="N8" s="95">
        <f>1732.84/2</f>
        <v>866.42</v>
      </c>
      <c r="O8" s="95">
        <f>1732.84/2</f>
        <v>866.42</v>
      </c>
      <c r="P8" s="95">
        <f t="shared" si="1"/>
        <v>1732.84</v>
      </c>
      <c r="Q8" s="77">
        <v>3</v>
      </c>
      <c r="R8" s="91">
        <v>120</v>
      </c>
      <c r="S8" s="77">
        <v>0</v>
      </c>
      <c r="T8" s="91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7"/>
    </row>
    <row r="9" spans="1:24" s="92" customFormat="1" ht="15">
      <c r="A9" s="322" t="s">
        <v>231</v>
      </c>
      <c r="B9" s="322" t="s">
        <v>231</v>
      </c>
      <c r="C9" s="322" t="s">
        <v>704</v>
      </c>
      <c r="D9" s="47">
        <v>0</v>
      </c>
      <c r="E9" s="322" t="s">
        <v>562</v>
      </c>
      <c r="F9" s="323" t="s">
        <v>814</v>
      </c>
      <c r="G9" s="322" t="s">
        <v>36</v>
      </c>
      <c r="H9" s="322" t="s">
        <v>37</v>
      </c>
      <c r="I9" s="322" t="s">
        <v>38</v>
      </c>
      <c r="J9" s="322" t="s">
        <v>62</v>
      </c>
      <c r="K9" s="322" t="s">
        <v>63</v>
      </c>
      <c r="L9" s="90">
        <v>45357</v>
      </c>
      <c r="M9" s="90">
        <v>45359</v>
      </c>
      <c r="N9" s="95">
        <f>1529.38/2</f>
        <v>764.69</v>
      </c>
      <c r="O9" s="95">
        <f>1529.38/2</f>
        <v>764.69</v>
      </c>
      <c r="P9" s="95">
        <f t="shared" si="1"/>
        <v>1529.38</v>
      </c>
      <c r="Q9" s="77">
        <v>0</v>
      </c>
      <c r="R9" s="91">
        <v>120</v>
      </c>
      <c r="S9" s="77">
        <v>0</v>
      </c>
      <c r="T9" s="91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7"/>
    </row>
    <row r="10" spans="1:24" s="92" customFormat="1" ht="15">
      <c r="A10" s="322" t="s">
        <v>231</v>
      </c>
      <c r="B10" s="322" t="s">
        <v>366</v>
      </c>
      <c r="C10" s="322" t="s">
        <v>789</v>
      </c>
      <c r="D10" s="47">
        <v>393</v>
      </c>
      <c r="E10" s="323" t="s">
        <v>790</v>
      </c>
      <c r="F10" s="323" t="s">
        <v>815</v>
      </c>
      <c r="G10" s="322" t="s">
        <v>36</v>
      </c>
      <c r="H10" s="322" t="s">
        <v>37</v>
      </c>
      <c r="I10" s="322" t="s">
        <v>38</v>
      </c>
      <c r="J10" s="322" t="s">
        <v>339</v>
      </c>
      <c r="K10" s="322" t="s">
        <v>340</v>
      </c>
      <c r="L10" s="90">
        <v>45363</v>
      </c>
      <c r="M10" s="90">
        <v>45366</v>
      </c>
      <c r="N10" s="95">
        <f>2729.51/2</f>
        <v>1364.7550000000001</v>
      </c>
      <c r="O10" s="95">
        <f>2729.51/2</f>
        <v>1364.7550000000001</v>
      </c>
      <c r="P10" s="95">
        <f t="shared" si="1"/>
        <v>2729.51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7"/>
    </row>
    <row r="11" spans="1:24" s="92" customFormat="1" ht="15">
      <c r="A11" s="322" t="s">
        <v>231</v>
      </c>
      <c r="B11" s="322" t="s">
        <v>764</v>
      </c>
      <c r="C11" s="322" t="s">
        <v>731</v>
      </c>
      <c r="D11" s="47">
        <v>390</v>
      </c>
      <c r="E11" s="322" t="s">
        <v>765</v>
      </c>
      <c r="F11" s="323" t="s">
        <v>815</v>
      </c>
      <c r="G11" s="322" t="s">
        <v>36</v>
      </c>
      <c r="H11" s="322" t="s">
        <v>37</v>
      </c>
      <c r="I11" s="322" t="s">
        <v>38</v>
      </c>
      <c r="J11" s="322" t="s">
        <v>339</v>
      </c>
      <c r="K11" s="322" t="s">
        <v>340</v>
      </c>
      <c r="L11" s="90">
        <v>45363</v>
      </c>
      <c r="M11" s="90">
        <v>45366</v>
      </c>
      <c r="N11" s="95">
        <f>2729.51/2</f>
        <v>1364.7550000000001</v>
      </c>
      <c r="O11" s="95">
        <f>2729.51/2</f>
        <v>1364.7550000000001</v>
      </c>
      <c r="P11" s="95">
        <f t="shared" si="1"/>
        <v>2729.51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7"/>
    </row>
    <row r="12" spans="1:24" s="92" customFormat="1" ht="15">
      <c r="A12" s="322" t="s">
        <v>253</v>
      </c>
      <c r="B12" s="322" t="s">
        <v>322</v>
      </c>
      <c r="C12" s="322" t="s">
        <v>323</v>
      </c>
      <c r="D12" s="47">
        <v>204</v>
      </c>
      <c r="E12" s="322" t="s">
        <v>652</v>
      </c>
      <c r="F12" s="323" t="s">
        <v>816</v>
      </c>
      <c r="G12" s="322" t="s">
        <v>36</v>
      </c>
      <c r="H12" s="322" t="s">
        <v>37</v>
      </c>
      <c r="I12" s="322" t="s">
        <v>38</v>
      </c>
      <c r="J12" s="322" t="s">
        <v>62</v>
      </c>
      <c r="K12" s="322" t="s">
        <v>63</v>
      </c>
      <c r="L12" s="90">
        <v>45370</v>
      </c>
      <c r="M12" s="90">
        <v>45372</v>
      </c>
      <c r="N12" s="95">
        <f>2348.22/2</f>
        <v>1174.1099999999999</v>
      </c>
      <c r="O12" s="95">
        <f>2348.22/2</f>
        <v>1174.1099999999999</v>
      </c>
      <c r="P12" s="95">
        <f t="shared" si="1"/>
        <v>2348.2199999999998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7"/>
    </row>
    <row r="13" spans="1:24" s="92" customFormat="1" ht="15">
      <c r="A13" s="322" t="s">
        <v>371</v>
      </c>
      <c r="B13" s="322" t="s">
        <v>273</v>
      </c>
      <c r="C13" s="322" t="s">
        <v>282</v>
      </c>
      <c r="D13" s="47">
        <v>236</v>
      </c>
      <c r="E13" s="322" t="s">
        <v>203</v>
      </c>
      <c r="F13" s="323" t="s">
        <v>817</v>
      </c>
      <c r="G13" s="322" t="s">
        <v>36</v>
      </c>
      <c r="H13" s="322" t="s">
        <v>37</v>
      </c>
      <c r="I13" s="322" t="s">
        <v>38</v>
      </c>
      <c r="J13" s="322" t="s">
        <v>37</v>
      </c>
      <c r="K13" s="322" t="s">
        <v>391</v>
      </c>
      <c r="L13" s="90">
        <v>45371</v>
      </c>
      <c r="M13" s="90">
        <v>45372</v>
      </c>
      <c r="N13" s="95">
        <f>1490.09/2</f>
        <v>745.04499999999996</v>
      </c>
      <c r="O13" s="95">
        <f>1490.09/2</f>
        <v>745.04499999999996</v>
      </c>
      <c r="P13" s="95">
        <f t="shared" si="1"/>
        <v>1490.09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7"/>
    </row>
    <row r="14" spans="1:24" s="92" customFormat="1" ht="15">
      <c r="A14" s="322" t="s">
        <v>231</v>
      </c>
      <c r="B14" s="322" t="s">
        <v>231</v>
      </c>
      <c r="C14" s="322" t="s">
        <v>704</v>
      </c>
      <c r="D14" s="47">
        <v>0</v>
      </c>
      <c r="E14" s="322" t="s">
        <v>562</v>
      </c>
      <c r="F14" s="323" t="s">
        <v>818</v>
      </c>
      <c r="G14" s="322" t="s">
        <v>36</v>
      </c>
      <c r="H14" s="322" t="s">
        <v>37</v>
      </c>
      <c r="I14" s="322" t="s">
        <v>38</v>
      </c>
      <c r="J14" s="322" t="s">
        <v>62</v>
      </c>
      <c r="K14" s="322" t="s">
        <v>63</v>
      </c>
      <c r="L14" s="90">
        <v>45363</v>
      </c>
      <c r="M14" s="90">
        <v>45363</v>
      </c>
      <c r="N14" s="95">
        <f>2248.01/2</f>
        <v>1124.0050000000001</v>
      </c>
      <c r="O14" s="95">
        <f>2248.01/2</f>
        <v>1124.0050000000001</v>
      </c>
      <c r="P14" s="95">
        <f t="shared" si="1"/>
        <v>2248.0100000000002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7"/>
    </row>
    <row r="15" spans="1:24" s="92" customFormat="1" ht="15">
      <c r="A15" s="322" t="s">
        <v>231</v>
      </c>
      <c r="B15" s="322" t="s">
        <v>231</v>
      </c>
      <c r="C15" s="322" t="s">
        <v>704</v>
      </c>
      <c r="D15" s="47">
        <v>0</v>
      </c>
      <c r="E15" s="322" t="s">
        <v>562</v>
      </c>
      <c r="F15" s="323" t="s">
        <v>818</v>
      </c>
      <c r="G15" s="322" t="s">
        <v>36</v>
      </c>
      <c r="H15" s="322" t="s">
        <v>37</v>
      </c>
      <c r="I15" s="322" t="s">
        <v>38</v>
      </c>
      <c r="J15" s="322" t="s">
        <v>339</v>
      </c>
      <c r="K15" s="322" t="s">
        <v>340</v>
      </c>
      <c r="L15" s="90">
        <v>45366</v>
      </c>
      <c r="M15" s="90">
        <v>45366</v>
      </c>
      <c r="N15" s="95">
        <f>1101.52/2</f>
        <v>550.76</v>
      </c>
      <c r="O15" s="95">
        <f>1101.52/2</f>
        <v>550.76</v>
      </c>
      <c r="P15" s="95">
        <f t="shared" si="1"/>
        <v>1101.52</v>
      </c>
      <c r="Q15" s="77">
        <v>0</v>
      </c>
      <c r="R15" s="91">
        <v>120</v>
      </c>
      <c r="S15" s="77">
        <v>0</v>
      </c>
      <c r="T15" s="91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7"/>
    </row>
    <row r="16" spans="1:24" s="92" customFormat="1" ht="15">
      <c r="A16" s="322" t="s">
        <v>371</v>
      </c>
      <c r="B16" s="322" t="s">
        <v>371</v>
      </c>
      <c r="C16" s="322" t="s">
        <v>819</v>
      </c>
      <c r="D16" s="47">
        <v>0</v>
      </c>
      <c r="E16" s="322" t="s">
        <v>80</v>
      </c>
      <c r="F16" s="323" t="s">
        <v>820</v>
      </c>
      <c r="G16" s="322" t="s">
        <v>36</v>
      </c>
      <c r="H16" s="322" t="s">
        <v>116</v>
      </c>
      <c r="I16" s="322" t="s">
        <v>821</v>
      </c>
      <c r="J16" s="322" t="s">
        <v>62</v>
      </c>
      <c r="K16" s="322" t="s">
        <v>63</v>
      </c>
      <c r="L16" s="90">
        <v>45376</v>
      </c>
      <c r="M16" s="90">
        <v>46473</v>
      </c>
      <c r="N16" s="95">
        <f>2608.14/2</f>
        <v>1304.07</v>
      </c>
      <c r="O16" s="95">
        <f>2608.14/2</f>
        <v>1304.07</v>
      </c>
      <c r="P16" s="95">
        <f t="shared" si="1"/>
        <v>2608.14</v>
      </c>
      <c r="Q16" s="77">
        <v>0</v>
      </c>
      <c r="R16" s="91">
        <v>120</v>
      </c>
      <c r="S16" s="77">
        <v>0</v>
      </c>
      <c r="T16" s="91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371</v>
      </c>
      <c r="B5" s="322" t="s">
        <v>240</v>
      </c>
      <c r="C5" s="322" t="s">
        <v>140</v>
      </c>
      <c r="D5" s="47">
        <v>230</v>
      </c>
      <c r="E5" s="322" t="s">
        <v>142</v>
      </c>
      <c r="F5" s="323" t="s">
        <v>822</v>
      </c>
      <c r="G5" s="322" t="s">
        <v>36</v>
      </c>
      <c r="H5" s="322" t="s">
        <v>37</v>
      </c>
      <c r="I5" s="322" t="s">
        <v>38</v>
      </c>
      <c r="J5" s="322" t="s">
        <v>464</v>
      </c>
      <c r="K5" s="322" t="s">
        <v>425</v>
      </c>
      <c r="L5" s="90">
        <v>45406</v>
      </c>
      <c r="M5" s="90">
        <v>45437</v>
      </c>
      <c r="N5" s="95">
        <f>1406.27/2</f>
        <v>703.13499999999999</v>
      </c>
      <c r="O5" s="95">
        <f>1406.27/2</f>
        <v>703.13499999999999</v>
      </c>
      <c r="P5" s="95">
        <f t="shared" ref="P5:P15" si="0">SUM(N5:O5)</f>
        <v>1406.27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7"/>
    </row>
    <row r="6" spans="1:24" s="92" customFormat="1" ht="15">
      <c r="A6" s="322" t="s">
        <v>253</v>
      </c>
      <c r="B6" s="322" t="s">
        <v>322</v>
      </c>
      <c r="C6" s="322" t="s">
        <v>760</v>
      </c>
      <c r="D6" s="47">
        <v>397</v>
      </c>
      <c r="E6" s="322" t="s">
        <v>823</v>
      </c>
      <c r="F6" s="323" t="s">
        <v>824</v>
      </c>
      <c r="G6" s="322" t="s">
        <v>36</v>
      </c>
      <c r="H6" s="322" t="s">
        <v>37</v>
      </c>
      <c r="I6" s="322" t="s">
        <v>38</v>
      </c>
      <c r="J6" s="322" t="s">
        <v>109</v>
      </c>
      <c r="K6" s="322" t="s">
        <v>110</v>
      </c>
      <c r="L6" s="90">
        <v>45392</v>
      </c>
      <c r="M6" s="90">
        <v>45393</v>
      </c>
      <c r="N6" s="95">
        <f t="shared" ref="N6:O9" si="4">2399.95/2</f>
        <v>1199.9749999999999</v>
      </c>
      <c r="O6" s="95">
        <f t="shared" si="4"/>
        <v>1199.9749999999999</v>
      </c>
      <c r="P6" s="95">
        <f t="shared" si="0"/>
        <v>2399.9499999999998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7"/>
    </row>
    <row r="7" spans="1:24" s="92" customFormat="1" ht="15">
      <c r="A7" s="322" t="s">
        <v>253</v>
      </c>
      <c r="B7" s="322" t="s">
        <v>322</v>
      </c>
      <c r="C7" s="322" t="s">
        <v>762</v>
      </c>
      <c r="D7" s="47">
        <v>324</v>
      </c>
      <c r="E7" s="322" t="s">
        <v>493</v>
      </c>
      <c r="F7" s="323" t="s">
        <v>824</v>
      </c>
      <c r="G7" s="322" t="s">
        <v>36</v>
      </c>
      <c r="H7" s="322" t="s">
        <v>37</v>
      </c>
      <c r="I7" s="322" t="s">
        <v>38</v>
      </c>
      <c r="J7" s="322" t="s">
        <v>109</v>
      </c>
      <c r="K7" s="322" t="s">
        <v>110</v>
      </c>
      <c r="L7" s="90">
        <v>45392</v>
      </c>
      <c r="M7" s="90">
        <v>45393</v>
      </c>
      <c r="N7" s="95">
        <f t="shared" si="4"/>
        <v>1199.9749999999999</v>
      </c>
      <c r="O7" s="95">
        <f t="shared" si="4"/>
        <v>1199.9749999999999</v>
      </c>
      <c r="P7" s="95">
        <f t="shared" si="0"/>
        <v>2399.9499999999998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7"/>
    </row>
    <row r="8" spans="1:24" s="92" customFormat="1" ht="15">
      <c r="A8" s="322" t="s">
        <v>253</v>
      </c>
      <c r="B8" s="322" t="s">
        <v>322</v>
      </c>
      <c r="C8" s="322" t="s">
        <v>327</v>
      </c>
      <c r="D8" s="47">
        <v>87</v>
      </c>
      <c r="E8" s="322" t="s">
        <v>329</v>
      </c>
      <c r="F8" s="323" t="s">
        <v>824</v>
      </c>
      <c r="G8" s="322" t="s">
        <v>36</v>
      </c>
      <c r="H8" s="322" t="s">
        <v>37</v>
      </c>
      <c r="I8" s="322" t="s">
        <v>38</v>
      </c>
      <c r="J8" s="322" t="s">
        <v>109</v>
      </c>
      <c r="K8" s="322" t="s">
        <v>110</v>
      </c>
      <c r="L8" s="90">
        <v>45392</v>
      </c>
      <c r="M8" s="90">
        <v>45393</v>
      </c>
      <c r="N8" s="95">
        <f t="shared" si="4"/>
        <v>1199.9749999999999</v>
      </c>
      <c r="O8" s="95">
        <f t="shared" si="4"/>
        <v>1199.9749999999999</v>
      </c>
      <c r="P8" s="95">
        <f t="shared" si="0"/>
        <v>2399.9499999999998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7"/>
    </row>
    <row r="9" spans="1:24" s="92" customFormat="1" ht="15">
      <c r="A9" s="322" t="s">
        <v>371</v>
      </c>
      <c r="B9" s="322" t="s">
        <v>240</v>
      </c>
      <c r="C9" s="322" t="s">
        <v>448</v>
      </c>
      <c r="D9" s="47">
        <v>336</v>
      </c>
      <c r="E9" s="322" t="s">
        <v>294</v>
      </c>
      <c r="F9" s="323" t="s">
        <v>824</v>
      </c>
      <c r="G9" s="322" t="s">
        <v>36</v>
      </c>
      <c r="H9" s="322" t="s">
        <v>37</v>
      </c>
      <c r="I9" s="322" t="s">
        <v>38</v>
      </c>
      <c r="J9" s="322" t="s">
        <v>109</v>
      </c>
      <c r="K9" s="322" t="s">
        <v>110</v>
      </c>
      <c r="L9" s="90">
        <v>45392</v>
      </c>
      <c r="M9" s="90">
        <v>45393</v>
      </c>
      <c r="N9" s="95">
        <f t="shared" si="4"/>
        <v>1199.9749999999999</v>
      </c>
      <c r="O9" s="95">
        <f t="shared" si="4"/>
        <v>1199.9749999999999</v>
      </c>
      <c r="P9" s="95">
        <f t="shared" si="0"/>
        <v>2399.9499999999998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7"/>
    </row>
    <row r="10" spans="1:24" s="92" customFormat="1" ht="30">
      <c r="A10" s="322" t="s">
        <v>231</v>
      </c>
      <c r="B10" s="322" t="s">
        <v>764</v>
      </c>
      <c r="C10" s="322" t="s">
        <v>731</v>
      </c>
      <c r="D10" s="47">
        <v>390</v>
      </c>
      <c r="E10" s="322" t="s">
        <v>765</v>
      </c>
      <c r="F10" s="323" t="s">
        <v>825</v>
      </c>
      <c r="G10" s="322" t="s">
        <v>36</v>
      </c>
      <c r="H10" s="322" t="s">
        <v>37</v>
      </c>
      <c r="I10" s="322" t="s">
        <v>38</v>
      </c>
      <c r="J10" s="322" t="s">
        <v>62</v>
      </c>
      <c r="K10" s="322" t="s">
        <v>63</v>
      </c>
      <c r="L10" s="90">
        <v>45385</v>
      </c>
      <c r="M10" s="90">
        <v>45386</v>
      </c>
      <c r="N10" s="95">
        <f>2482.92/2</f>
        <v>1241.46</v>
      </c>
      <c r="O10" s="95">
        <f>2482.92/2</f>
        <v>1241.46</v>
      </c>
      <c r="P10" s="95">
        <f t="shared" si="0"/>
        <v>2482.92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7"/>
    </row>
    <row r="11" spans="1:24" s="92" customFormat="1" ht="15">
      <c r="A11" s="322" t="s">
        <v>231</v>
      </c>
      <c r="B11" s="322" t="s">
        <v>229</v>
      </c>
      <c r="C11" s="322" t="s">
        <v>729</v>
      </c>
      <c r="D11" s="47">
        <v>387</v>
      </c>
      <c r="E11" s="322" t="s">
        <v>248</v>
      </c>
      <c r="F11" s="323" t="s">
        <v>826</v>
      </c>
      <c r="G11" s="322" t="s">
        <v>36</v>
      </c>
      <c r="H11" s="322" t="s">
        <v>37</v>
      </c>
      <c r="I11" s="322" t="s">
        <v>38</v>
      </c>
      <c r="J11" s="322" t="s">
        <v>109</v>
      </c>
      <c r="K11" s="322" t="s">
        <v>110</v>
      </c>
      <c r="L11" s="90">
        <v>45404</v>
      </c>
      <c r="M11" s="90">
        <v>45406</v>
      </c>
      <c r="N11" s="95">
        <f>2248.02/2</f>
        <v>1124.01</v>
      </c>
      <c r="O11" s="95">
        <f>2248.02/2</f>
        <v>1124.01</v>
      </c>
      <c r="P11" s="95">
        <f t="shared" si="0"/>
        <v>2248.02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7"/>
    </row>
    <row r="12" spans="1:24" s="92" customFormat="1" ht="45">
      <c r="A12" s="322" t="s">
        <v>231</v>
      </c>
      <c r="B12" s="322" t="s">
        <v>231</v>
      </c>
      <c r="C12" s="322" t="s">
        <v>704</v>
      </c>
      <c r="D12" s="47">
        <v>0</v>
      </c>
      <c r="E12" s="322" t="s">
        <v>562</v>
      </c>
      <c r="F12" s="323" t="s">
        <v>827</v>
      </c>
      <c r="G12" s="322" t="s">
        <v>36</v>
      </c>
      <c r="H12" s="322" t="s">
        <v>37</v>
      </c>
      <c r="I12" s="322" t="s">
        <v>38</v>
      </c>
      <c r="J12" s="322" t="s">
        <v>62</v>
      </c>
      <c r="K12" s="322" t="s">
        <v>63</v>
      </c>
      <c r="L12" s="90">
        <v>45404</v>
      </c>
      <c r="M12" s="90">
        <v>45406</v>
      </c>
      <c r="N12" s="95">
        <f>2755.24/2</f>
        <v>1377.62</v>
      </c>
      <c r="O12" s="95">
        <f>2755.24/2</f>
        <v>1377.62</v>
      </c>
      <c r="P12" s="95">
        <f t="shared" si="0"/>
        <v>2755.24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7"/>
    </row>
    <row r="13" spans="1:24" s="92" customFormat="1" ht="45">
      <c r="A13" s="322" t="s">
        <v>231</v>
      </c>
      <c r="B13" s="322" t="s">
        <v>231</v>
      </c>
      <c r="C13" s="322" t="s">
        <v>704</v>
      </c>
      <c r="D13" s="47">
        <v>0</v>
      </c>
      <c r="E13" s="322" t="s">
        <v>562</v>
      </c>
      <c r="F13" s="323" t="s">
        <v>827</v>
      </c>
      <c r="G13" s="322" t="s">
        <v>36</v>
      </c>
      <c r="H13" s="322" t="s">
        <v>62</v>
      </c>
      <c r="I13" s="322" t="s">
        <v>63</v>
      </c>
      <c r="J13" s="322" t="s">
        <v>39</v>
      </c>
      <c r="K13" s="322" t="s">
        <v>40</v>
      </c>
      <c r="L13" s="90">
        <v>45407</v>
      </c>
      <c r="M13" s="90">
        <v>45408</v>
      </c>
      <c r="N13" s="95">
        <f>2769.02/2</f>
        <v>1384.51</v>
      </c>
      <c r="O13" s="95">
        <f>2769.02/2</f>
        <v>1384.51</v>
      </c>
      <c r="P13" s="95">
        <f t="shared" si="0"/>
        <v>2769.02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7"/>
    </row>
    <row r="14" spans="1:24" s="92" customFormat="1" ht="15">
      <c r="A14" s="322" t="s">
        <v>231</v>
      </c>
      <c r="B14" s="322" t="s">
        <v>215</v>
      </c>
      <c r="C14" s="322" t="s">
        <v>746</v>
      </c>
      <c r="D14" s="47">
        <v>386</v>
      </c>
      <c r="E14" s="322" t="s">
        <v>218</v>
      </c>
      <c r="F14" s="323" t="s">
        <v>828</v>
      </c>
      <c r="G14" s="322" t="s">
        <v>36</v>
      </c>
      <c r="H14" s="322" t="s">
        <v>37</v>
      </c>
      <c r="I14" s="322" t="s">
        <v>38</v>
      </c>
      <c r="J14" s="322" t="s">
        <v>39</v>
      </c>
      <c r="K14" s="322" t="s">
        <v>40</v>
      </c>
      <c r="L14" s="90">
        <v>45405</v>
      </c>
      <c r="M14" s="90">
        <v>45406</v>
      </c>
      <c r="N14" s="95">
        <f>2562.28/2</f>
        <v>1281.1400000000001</v>
      </c>
      <c r="O14" s="95">
        <f>2562.28/2</f>
        <v>1281.1400000000001</v>
      </c>
      <c r="P14" s="95">
        <f t="shared" si="0"/>
        <v>2562.2800000000002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7"/>
    </row>
    <row r="15" spans="1:24" s="92" customFormat="1" ht="15">
      <c r="A15" s="322" t="s">
        <v>231</v>
      </c>
      <c r="B15" s="322" t="s">
        <v>229</v>
      </c>
      <c r="C15" s="322" t="s">
        <v>729</v>
      </c>
      <c r="D15" s="47">
        <v>387</v>
      </c>
      <c r="E15" s="322" t="s">
        <v>248</v>
      </c>
      <c r="F15" s="323" t="s">
        <v>829</v>
      </c>
      <c r="G15" s="322" t="s">
        <v>36</v>
      </c>
      <c r="H15" s="322" t="s">
        <v>37</v>
      </c>
      <c r="I15" s="322" t="s">
        <v>38</v>
      </c>
      <c r="J15" s="322" t="s">
        <v>62</v>
      </c>
      <c r="K15" s="322" t="s">
        <v>63</v>
      </c>
      <c r="L15" s="90">
        <v>45404</v>
      </c>
      <c r="M15" s="90">
        <v>45406</v>
      </c>
      <c r="N15" s="95">
        <f>2825.39/2</f>
        <v>1412.6949999999999</v>
      </c>
      <c r="O15" s="95">
        <f>2825.39/2</f>
        <v>1412.6949999999999</v>
      </c>
      <c r="P15" s="95">
        <f t="shared" si="0"/>
        <v>2825.39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4" sqref="A24:E2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253</v>
      </c>
      <c r="B5" s="322" t="s">
        <v>259</v>
      </c>
      <c r="C5" s="322" t="s">
        <v>192</v>
      </c>
      <c r="D5" s="47">
        <v>71</v>
      </c>
      <c r="E5" s="322" t="s">
        <v>830</v>
      </c>
      <c r="F5" s="323" t="s">
        <v>621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90">
        <v>45418</v>
      </c>
      <c r="M5" s="90">
        <v>45420</v>
      </c>
      <c r="N5" s="95">
        <f t="shared" ref="N5:O7" si="0">1715.09/2</f>
        <v>857.54499999999996</v>
      </c>
      <c r="O5" s="95">
        <f t="shared" si="0"/>
        <v>857.54499999999996</v>
      </c>
      <c r="P5" s="95">
        <f t="shared" ref="P5:P22" si="1">SUM(N5:O5)</f>
        <v>1715.09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7"/>
    </row>
    <row r="6" spans="1:24" s="92" customFormat="1" ht="15">
      <c r="A6" s="322" t="s">
        <v>253</v>
      </c>
      <c r="B6" s="322" t="s">
        <v>259</v>
      </c>
      <c r="C6" s="322" t="s">
        <v>831</v>
      </c>
      <c r="D6" s="47">
        <v>410</v>
      </c>
      <c r="E6" s="322" t="s">
        <v>796</v>
      </c>
      <c r="F6" s="323" t="s">
        <v>621</v>
      </c>
      <c r="G6" s="322" t="s">
        <v>36</v>
      </c>
      <c r="H6" s="322" t="s">
        <v>37</v>
      </c>
      <c r="I6" s="322" t="s">
        <v>38</v>
      </c>
      <c r="J6" s="322" t="s">
        <v>37</v>
      </c>
      <c r="K6" s="322" t="s">
        <v>391</v>
      </c>
      <c r="L6" s="90">
        <v>45418</v>
      </c>
      <c r="M6" s="90">
        <v>45420</v>
      </c>
      <c r="N6" s="95">
        <f t="shared" si="0"/>
        <v>857.54499999999996</v>
      </c>
      <c r="O6" s="95">
        <f t="shared" si="0"/>
        <v>857.54499999999996</v>
      </c>
      <c r="P6" s="95">
        <f t="shared" si="1"/>
        <v>1715.09</v>
      </c>
      <c r="Q6" s="77">
        <v>3</v>
      </c>
      <c r="R6" s="91">
        <v>120</v>
      </c>
      <c r="S6" s="77">
        <v>0</v>
      </c>
      <c r="T6" s="91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7"/>
    </row>
    <row r="7" spans="1:24" s="92" customFormat="1" ht="15">
      <c r="A7" s="322" t="s">
        <v>253</v>
      </c>
      <c r="B7" s="322" t="s">
        <v>259</v>
      </c>
      <c r="C7" s="322" t="s">
        <v>802</v>
      </c>
      <c r="D7" s="47">
        <v>404</v>
      </c>
      <c r="E7" s="322" t="s">
        <v>803</v>
      </c>
      <c r="F7" s="323" t="s">
        <v>621</v>
      </c>
      <c r="G7" s="322" t="s">
        <v>36</v>
      </c>
      <c r="H7" s="322" t="s">
        <v>37</v>
      </c>
      <c r="I7" s="322" t="s">
        <v>38</v>
      </c>
      <c r="J7" s="322" t="s">
        <v>37</v>
      </c>
      <c r="K7" s="322" t="s">
        <v>391</v>
      </c>
      <c r="L7" s="90">
        <v>45418</v>
      </c>
      <c r="M7" s="90">
        <v>45420</v>
      </c>
      <c r="N7" s="95">
        <f t="shared" si="0"/>
        <v>857.54499999999996</v>
      </c>
      <c r="O7" s="95">
        <f t="shared" si="0"/>
        <v>857.54499999999996</v>
      </c>
      <c r="P7" s="95">
        <f t="shared" si="1"/>
        <v>1715.09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7"/>
    </row>
    <row r="8" spans="1:24" s="92" customFormat="1" ht="15">
      <c r="A8" s="322" t="s">
        <v>371</v>
      </c>
      <c r="B8" s="322" t="s">
        <v>396</v>
      </c>
      <c r="C8" s="322" t="s">
        <v>267</v>
      </c>
      <c r="D8" s="47">
        <v>296</v>
      </c>
      <c r="E8" s="322" t="s">
        <v>157</v>
      </c>
      <c r="F8" s="323" t="s">
        <v>832</v>
      </c>
      <c r="G8" s="322" t="s">
        <v>36</v>
      </c>
      <c r="H8" s="322" t="s">
        <v>37</v>
      </c>
      <c r="I8" s="322" t="s">
        <v>38</v>
      </c>
      <c r="J8" s="322" t="s">
        <v>37</v>
      </c>
      <c r="K8" s="322" t="s">
        <v>391</v>
      </c>
      <c r="L8" s="90">
        <v>45425</v>
      </c>
      <c r="M8" s="90">
        <v>45427</v>
      </c>
      <c r="N8" s="95">
        <f>1566.08/2</f>
        <v>783.04</v>
      </c>
      <c r="O8" s="95">
        <f>1566.08/2</f>
        <v>783.04</v>
      </c>
      <c r="P8" s="95">
        <f t="shared" si="1"/>
        <v>1566.08</v>
      </c>
      <c r="Q8" s="77">
        <v>3</v>
      </c>
      <c r="R8" s="91">
        <v>120</v>
      </c>
      <c r="S8" s="77">
        <v>0</v>
      </c>
      <c r="T8" s="91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7"/>
    </row>
    <row r="9" spans="1:24" s="92" customFormat="1" ht="15">
      <c r="A9" s="322" t="s">
        <v>371</v>
      </c>
      <c r="B9" s="322" t="s">
        <v>371</v>
      </c>
      <c r="C9" s="322" t="s">
        <v>819</v>
      </c>
      <c r="D9" s="47">
        <v>0</v>
      </c>
      <c r="E9" s="322" t="s">
        <v>80</v>
      </c>
      <c r="F9" s="323" t="s">
        <v>832</v>
      </c>
      <c r="G9" s="322" t="s">
        <v>36</v>
      </c>
      <c r="H9" s="322" t="s">
        <v>37</v>
      </c>
      <c r="I9" s="322" t="s">
        <v>38</v>
      </c>
      <c r="J9" s="322" t="s">
        <v>37</v>
      </c>
      <c r="K9" s="322" t="s">
        <v>391</v>
      </c>
      <c r="L9" s="90">
        <v>45425</v>
      </c>
      <c r="M9" s="90">
        <v>45427</v>
      </c>
      <c r="N9" s="95">
        <f>1758.46/2</f>
        <v>879.23</v>
      </c>
      <c r="O9" s="95">
        <f>1758.46/2</f>
        <v>879.23</v>
      </c>
      <c r="P9" s="95">
        <f t="shared" si="1"/>
        <v>1758.46</v>
      </c>
      <c r="Q9" s="77">
        <v>0</v>
      </c>
      <c r="R9" s="91">
        <v>120</v>
      </c>
      <c r="S9" s="77">
        <v>0</v>
      </c>
      <c r="T9" s="91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7"/>
    </row>
    <row r="10" spans="1:24" s="92" customFormat="1" ht="15">
      <c r="A10" s="322" t="s">
        <v>231</v>
      </c>
      <c r="B10" s="322" t="s">
        <v>231</v>
      </c>
      <c r="C10" s="322" t="s">
        <v>704</v>
      </c>
      <c r="D10" s="47">
        <v>0</v>
      </c>
      <c r="E10" s="322" t="s">
        <v>562</v>
      </c>
      <c r="F10" s="323" t="s">
        <v>832</v>
      </c>
      <c r="G10" s="322" t="s">
        <v>36</v>
      </c>
      <c r="H10" s="322" t="s">
        <v>37</v>
      </c>
      <c r="I10" s="322" t="s">
        <v>38</v>
      </c>
      <c r="J10" s="322" t="s">
        <v>37</v>
      </c>
      <c r="K10" s="322" t="s">
        <v>391</v>
      </c>
      <c r="L10" s="90">
        <v>45425</v>
      </c>
      <c r="M10" s="90">
        <v>45427</v>
      </c>
      <c r="N10" s="95">
        <f>1617.04/2</f>
        <v>808.52</v>
      </c>
      <c r="O10" s="95">
        <f>1617.04/2</f>
        <v>808.52</v>
      </c>
      <c r="P10" s="95">
        <f t="shared" si="1"/>
        <v>1617.04</v>
      </c>
      <c r="Q10" s="77">
        <v>3</v>
      </c>
      <c r="R10" s="91">
        <v>120</v>
      </c>
      <c r="S10" s="77">
        <v>0</v>
      </c>
      <c r="T10" s="91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7"/>
    </row>
    <row r="11" spans="1:24" s="92" customFormat="1" ht="15">
      <c r="A11" s="322" t="s">
        <v>231</v>
      </c>
      <c r="B11" s="322" t="s">
        <v>229</v>
      </c>
      <c r="C11" s="322" t="s">
        <v>729</v>
      </c>
      <c r="D11" s="47">
        <v>387</v>
      </c>
      <c r="E11" s="322" t="s">
        <v>833</v>
      </c>
      <c r="F11" s="323" t="s">
        <v>832</v>
      </c>
      <c r="G11" s="322" t="s">
        <v>36</v>
      </c>
      <c r="H11" s="322" t="s">
        <v>37</v>
      </c>
      <c r="I11" s="322" t="s">
        <v>38</v>
      </c>
      <c r="J11" s="322" t="s">
        <v>37</v>
      </c>
      <c r="K11" s="322" t="s">
        <v>391</v>
      </c>
      <c r="L11" s="90">
        <v>45425</v>
      </c>
      <c r="M11" s="90">
        <v>45427</v>
      </c>
      <c r="N11" s="95">
        <f>2005.09/2</f>
        <v>1002.545</v>
      </c>
      <c r="O11" s="95">
        <f>2005.09/2</f>
        <v>1002.545</v>
      </c>
      <c r="P11" s="95">
        <f t="shared" si="1"/>
        <v>2005.09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7"/>
    </row>
    <row r="12" spans="1:24" s="92" customFormat="1" ht="15">
      <c r="A12" s="322" t="s">
        <v>231</v>
      </c>
      <c r="B12" s="322" t="s">
        <v>305</v>
      </c>
      <c r="C12" s="322" t="s">
        <v>834</v>
      </c>
      <c r="D12" s="47">
        <v>405</v>
      </c>
      <c r="E12" s="322" t="s">
        <v>308</v>
      </c>
      <c r="F12" s="323" t="s">
        <v>832</v>
      </c>
      <c r="G12" s="322" t="s">
        <v>36</v>
      </c>
      <c r="H12" s="322" t="s">
        <v>62</v>
      </c>
      <c r="I12" s="322" t="s">
        <v>38</v>
      </c>
      <c r="J12" s="322" t="s">
        <v>37</v>
      </c>
      <c r="K12" s="322" t="s">
        <v>391</v>
      </c>
      <c r="L12" s="90">
        <v>45425</v>
      </c>
      <c r="M12" s="90">
        <v>45427</v>
      </c>
      <c r="N12" s="95">
        <f>1617.03/2</f>
        <v>808.51499999999999</v>
      </c>
      <c r="O12" s="95">
        <f>1617.03/2</f>
        <v>808.51499999999999</v>
      </c>
      <c r="P12" s="95">
        <f t="shared" si="1"/>
        <v>1617.03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7"/>
    </row>
    <row r="13" spans="1:24" s="92" customFormat="1" ht="15">
      <c r="A13" s="322" t="s">
        <v>371</v>
      </c>
      <c r="B13" s="322" t="s">
        <v>240</v>
      </c>
      <c r="C13" s="322" t="s">
        <v>140</v>
      </c>
      <c r="D13" s="47">
        <v>230</v>
      </c>
      <c r="E13" s="322" t="s">
        <v>142</v>
      </c>
      <c r="F13" s="323" t="s">
        <v>832</v>
      </c>
      <c r="G13" s="322" t="s">
        <v>36</v>
      </c>
      <c r="H13" s="322" t="s">
        <v>37</v>
      </c>
      <c r="I13" s="322" t="s">
        <v>38</v>
      </c>
      <c r="J13" s="322" t="s">
        <v>37</v>
      </c>
      <c r="K13" s="322" t="s">
        <v>391</v>
      </c>
      <c r="L13" s="90">
        <v>45425</v>
      </c>
      <c r="M13" s="90">
        <v>45427</v>
      </c>
      <c r="N13" s="95">
        <f>1489.63/2</f>
        <v>744.81500000000005</v>
      </c>
      <c r="O13" s="95">
        <f>1489.63/2</f>
        <v>744.81500000000005</v>
      </c>
      <c r="P13" s="95">
        <f t="shared" si="1"/>
        <v>1489.63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7"/>
    </row>
    <row r="14" spans="1:24" s="92" customFormat="1" ht="15">
      <c r="A14" s="322" t="s">
        <v>231</v>
      </c>
      <c r="B14" s="322" t="s">
        <v>231</v>
      </c>
      <c r="C14" s="322" t="s">
        <v>704</v>
      </c>
      <c r="D14" s="47">
        <v>0</v>
      </c>
      <c r="E14" s="322" t="s">
        <v>562</v>
      </c>
      <c r="F14" s="323" t="s">
        <v>835</v>
      </c>
      <c r="G14" s="322" t="s">
        <v>36</v>
      </c>
      <c r="H14" s="322" t="s">
        <v>37</v>
      </c>
      <c r="I14" s="322" t="s">
        <v>38</v>
      </c>
      <c r="J14" s="322" t="s">
        <v>62</v>
      </c>
      <c r="K14" s="322" t="s">
        <v>63</v>
      </c>
      <c r="L14" s="90">
        <v>45414</v>
      </c>
      <c r="M14" s="90">
        <v>45415</v>
      </c>
      <c r="N14" s="95">
        <f>1702.23/2</f>
        <v>851.11500000000001</v>
      </c>
      <c r="O14" s="95">
        <f>1702.23/2</f>
        <v>851.11500000000001</v>
      </c>
      <c r="P14" s="95">
        <f t="shared" si="1"/>
        <v>1702.23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7"/>
    </row>
    <row r="15" spans="1:24" s="92" customFormat="1" ht="15">
      <c r="A15" s="322" t="s">
        <v>231</v>
      </c>
      <c r="B15" s="322" t="s">
        <v>366</v>
      </c>
      <c r="C15" s="322" t="s">
        <v>789</v>
      </c>
      <c r="D15" s="47">
        <v>393</v>
      </c>
      <c r="E15" s="323" t="s">
        <v>790</v>
      </c>
      <c r="F15" s="323" t="s">
        <v>835</v>
      </c>
      <c r="G15" s="322" t="s">
        <v>36</v>
      </c>
      <c r="H15" s="322" t="s">
        <v>37</v>
      </c>
      <c r="I15" s="322" t="s">
        <v>38</v>
      </c>
      <c r="J15" s="322" t="s">
        <v>62</v>
      </c>
      <c r="K15" s="322" t="s">
        <v>63</v>
      </c>
      <c r="L15" s="90">
        <v>45414</v>
      </c>
      <c r="M15" s="90">
        <v>45415</v>
      </c>
      <c r="N15" s="95">
        <f>1608.23/2</f>
        <v>804.11500000000001</v>
      </c>
      <c r="O15" s="95">
        <f>1608.23/2</f>
        <v>804.11500000000001</v>
      </c>
      <c r="P15" s="95">
        <f t="shared" si="1"/>
        <v>1608.23</v>
      </c>
      <c r="Q15" s="77">
        <v>2</v>
      </c>
      <c r="R15" s="91">
        <v>120</v>
      </c>
      <c r="S15" s="77">
        <v>0</v>
      </c>
      <c r="T15" s="91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7"/>
    </row>
    <row r="16" spans="1:24" s="92" customFormat="1" ht="15">
      <c r="A16" s="322" t="s">
        <v>253</v>
      </c>
      <c r="B16" s="322" t="s">
        <v>253</v>
      </c>
      <c r="C16" s="322" t="s">
        <v>387</v>
      </c>
      <c r="D16" s="47">
        <v>0</v>
      </c>
      <c r="E16" s="322" t="s">
        <v>50</v>
      </c>
      <c r="F16" s="323" t="s">
        <v>836</v>
      </c>
      <c r="G16" s="322" t="s">
        <v>36</v>
      </c>
      <c r="H16" s="322" t="s">
        <v>37</v>
      </c>
      <c r="I16" s="322" t="s">
        <v>38</v>
      </c>
      <c r="J16" s="322" t="s">
        <v>210</v>
      </c>
      <c r="K16" s="322" t="s">
        <v>837</v>
      </c>
      <c r="L16" s="90">
        <v>45420</v>
      </c>
      <c r="M16" s="90">
        <v>45422</v>
      </c>
      <c r="N16" s="95">
        <f t="shared" ref="N16:O18" si="8">2639.57/2</f>
        <v>1319.7850000000001</v>
      </c>
      <c r="O16" s="95">
        <f t="shared" si="8"/>
        <v>1319.7850000000001</v>
      </c>
      <c r="P16" s="95">
        <f t="shared" si="1"/>
        <v>2639.57</v>
      </c>
      <c r="Q16" s="77">
        <v>0</v>
      </c>
      <c r="R16" s="91">
        <v>120</v>
      </c>
      <c r="S16" s="77">
        <v>0</v>
      </c>
      <c r="T16" s="91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7"/>
    </row>
    <row r="17" spans="1:24" s="92" customFormat="1" ht="15">
      <c r="A17" s="322" t="s">
        <v>253</v>
      </c>
      <c r="B17" s="322" t="s">
        <v>253</v>
      </c>
      <c r="C17" s="322" t="s">
        <v>675</v>
      </c>
      <c r="D17" s="47">
        <v>383</v>
      </c>
      <c r="E17" s="322" t="s">
        <v>698</v>
      </c>
      <c r="F17" s="323" t="s">
        <v>836</v>
      </c>
      <c r="G17" s="322" t="s">
        <v>36</v>
      </c>
      <c r="H17" s="322" t="s">
        <v>37</v>
      </c>
      <c r="I17" s="322" t="s">
        <v>38</v>
      </c>
      <c r="J17" s="322" t="s">
        <v>210</v>
      </c>
      <c r="K17" s="322" t="s">
        <v>837</v>
      </c>
      <c r="L17" s="90">
        <v>45420</v>
      </c>
      <c r="M17" s="90">
        <v>45422</v>
      </c>
      <c r="N17" s="95">
        <f t="shared" si="8"/>
        <v>1319.7850000000001</v>
      </c>
      <c r="O17" s="95">
        <f t="shared" si="8"/>
        <v>1319.7850000000001</v>
      </c>
      <c r="P17" s="95">
        <f t="shared" si="1"/>
        <v>2639.57</v>
      </c>
      <c r="Q17" s="77">
        <v>3</v>
      </c>
      <c r="R17" s="91">
        <v>120</v>
      </c>
      <c r="S17" s="77">
        <v>0</v>
      </c>
      <c r="T17" s="91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7"/>
    </row>
    <row r="18" spans="1:24" s="92" customFormat="1" ht="15">
      <c r="A18" s="322" t="s">
        <v>253</v>
      </c>
      <c r="B18" s="322" t="s">
        <v>288</v>
      </c>
      <c r="C18" s="322" t="s">
        <v>237</v>
      </c>
      <c r="D18" s="47">
        <v>82</v>
      </c>
      <c r="E18" s="322" t="s">
        <v>84</v>
      </c>
      <c r="F18" s="323" t="s">
        <v>836</v>
      </c>
      <c r="G18" s="322" t="s">
        <v>36</v>
      </c>
      <c r="H18" s="322" t="s">
        <v>37</v>
      </c>
      <c r="I18" s="322" t="s">
        <v>38</v>
      </c>
      <c r="J18" s="322" t="s">
        <v>210</v>
      </c>
      <c r="K18" s="322" t="s">
        <v>837</v>
      </c>
      <c r="L18" s="90">
        <v>45420</v>
      </c>
      <c r="M18" s="90">
        <v>45422</v>
      </c>
      <c r="N18" s="95">
        <f t="shared" si="8"/>
        <v>1319.7850000000001</v>
      </c>
      <c r="O18" s="95">
        <f t="shared" si="8"/>
        <v>1319.7850000000001</v>
      </c>
      <c r="P18" s="95">
        <f t="shared" si="1"/>
        <v>2639.57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7"/>
    </row>
    <row r="19" spans="1:24" s="92" customFormat="1" ht="15">
      <c r="A19" s="322" t="s">
        <v>253</v>
      </c>
      <c r="B19" s="322" t="s">
        <v>253</v>
      </c>
      <c r="C19" s="322" t="s">
        <v>675</v>
      </c>
      <c r="D19" s="47">
        <v>383</v>
      </c>
      <c r="E19" s="322" t="s">
        <v>698</v>
      </c>
      <c r="F19" s="323" t="s">
        <v>838</v>
      </c>
      <c r="G19" s="322" t="s">
        <v>36</v>
      </c>
      <c r="H19" s="322" t="s">
        <v>37</v>
      </c>
      <c r="I19" s="322" t="s">
        <v>38</v>
      </c>
      <c r="J19" s="322" t="s">
        <v>116</v>
      </c>
      <c r="K19" s="322" t="s">
        <v>117</v>
      </c>
      <c r="L19" s="90">
        <v>45434</v>
      </c>
      <c r="M19" s="90">
        <v>45435</v>
      </c>
      <c r="N19" s="95">
        <f>1844.11/2</f>
        <v>922.05499999999995</v>
      </c>
      <c r="O19" s="95">
        <f>1844.11/2</f>
        <v>922.05499999999995</v>
      </c>
      <c r="P19" s="95">
        <f t="shared" si="1"/>
        <v>1844.11</v>
      </c>
      <c r="Q19" s="77">
        <v>2</v>
      </c>
      <c r="R19" s="91">
        <v>120</v>
      </c>
      <c r="S19" s="77">
        <v>0</v>
      </c>
      <c r="T19" s="91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7"/>
    </row>
    <row r="20" spans="1:24" s="92" customFormat="1" ht="15">
      <c r="A20" s="322" t="s">
        <v>253</v>
      </c>
      <c r="B20" s="322" t="s">
        <v>253</v>
      </c>
      <c r="C20" s="322" t="s">
        <v>387</v>
      </c>
      <c r="D20" s="47">
        <v>0</v>
      </c>
      <c r="E20" s="322" t="s">
        <v>50</v>
      </c>
      <c r="F20" s="323" t="s">
        <v>838</v>
      </c>
      <c r="G20" s="322" t="s">
        <v>36</v>
      </c>
      <c r="H20" s="322" t="s">
        <v>37</v>
      </c>
      <c r="I20" s="322" t="s">
        <v>38</v>
      </c>
      <c r="J20" s="322" t="s">
        <v>116</v>
      </c>
      <c r="K20" s="322" t="s">
        <v>117</v>
      </c>
      <c r="L20" s="90">
        <v>45434</v>
      </c>
      <c r="M20" s="90">
        <v>45435</v>
      </c>
      <c r="N20" s="95">
        <f>1844.11/2</f>
        <v>922.05499999999995</v>
      </c>
      <c r="O20" s="95">
        <f>1844.11/2</f>
        <v>922.05499999999995</v>
      </c>
      <c r="P20" s="95">
        <f t="shared" si="1"/>
        <v>1844.11</v>
      </c>
      <c r="Q20" s="77">
        <v>0</v>
      </c>
      <c r="R20" s="91">
        <v>120</v>
      </c>
      <c r="S20" s="77">
        <v>0</v>
      </c>
      <c r="T20" s="91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7"/>
    </row>
    <row r="21" spans="1:24" s="92" customFormat="1" ht="15">
      <c r="A21" s="322" t="s">
        <v>253</v>
      </c>
      <c r="B21" s="322" t="s">
        <v>259</v>
      </c>
      <c r="C21" s="322" t="s">
        <v>576</v>
      </c>
      <c r="D21" s="47">
        <v>285</v>
      </c>
      <c r="E21" s="322" t="s">
        <v>839</v>
      </c>
      <c r="F21" s="323" t="s">
        <v>840</v>
      </c>
      <c r="G21" s="322" t="s">
        <v>36</v>
      </c>
      <c r="H21" s="322" t="s">
        <v>37</v>
      </c>
      <c r="I21" s="322" t="s">
        <v>38</v>
      </c>
      <c r="J21" s="322" t="s">
        <v>37</v>
      </c>
      <c r="K21" s="322" t="s">
        <v>391</v>
      </c>
      <c r="L21" s="90">
        <v>45434</v>
      </c>
      <c r="M21" s="90">
        <v>45435</v>
      </c>
      <c r="N21" s="95">
        <f>1690.67/2</f>
        <v>845.33500000000004</v>
      </c>
      <c r="O21" s="95">
        <f>1690.67/2</f>
        <v>845.33500000000004</v>
      </c>
      <c r="P21" s="95">
        <f t="shared" si="1"/>
        <v>1690.67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7"/>
    </row>
    <row r="22" spans="1:24" s="92" customFormat="1" ht="15">
      <c r="A22" s="322" t="s">
        <v>231</v>
      </c>
      <c r="B22" s="322" t="s">
        <v>231</v>
      </c>
      <c r="C22" s="322" t="s">
        <v>704</v>
      </c>
      <c r="D22" s="47">
        <v>0</v>
      </c>
      <c r="E22" s="322" t="s">
        <v>562</v>
      </c>
      <c r="F22" s="323" t="s">
        <v>841</v>
      </c>
      <c r="G22" s="322" t="s">
        <v>36</v>
      </c>
      <c r="H22" s="322" t="s">
        <v>37</v>
      </c>
      <c r="I22" s="322" t="s">
        <v>38</v>
      </c>
      <c r="J22" s="322" t="s">
        <v>39</v>
      </c>
      <c r="K22" s="322" t="s">
        <v>40</v>
      </c>
      <c r="L22" s="90">
        <v>45434</v>
      </c>
      <c r="M22" s="90">
        <v>45435</v>
      </c>
      <c r="N22" s="95">
        <f>1814.29/2</f>
        <v>907.14499999999998</v>
      </c>
      <c r="O22" s="95">
        <f>1814.29/2</f>
        <v>907.14499999999998</v>
      </c>
      <c r="P22" s="95">
        <f t="shared" si="1"/>
        <v>1814.29</v>
      </c>
      <c r="Q22" s="77">
        <v>0</v>
      </c>
      <c r="R22" s="91">
        <v>120</v>
      </c>
      <c r="S22" s="77">
        <v>0</v>
      </c>
      <c r="T22" s="91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7"/>
    </row>
    <row r="23" spans="1:24" s="92" customFormat="1" ht="15">
      <c r="A23" s="322" t="s">
        <v>371</v>
      </c>
      <c r="B23" s="322" t="s">
        <v>371</v>
      </c>
      <c r="C23" s="322" t="s">
        <v>819</v>
      </c>
      <c r="D23" s="47">
        <v>0</v>
      </c>
      <c r="E23" s="322" t="s">
        <v>80</v>
      </c>
      <c r="F23" s="323" t="s">
        <v>842</v>
      </c>
      <c r="G23" s="322" t="s">
        <v>36</v>
      </c>
      <c r="H23" s="322" t="s">
        <v>37</v>
      </c>
      <c r="I23" s="322" t="s">
        <v>38</v>
      </c>
      <c r="J23" s="322" t="s">
        <v>116</v>
      </c>
      <c r="K23" s="322" t="s">
        <v>117</v>
      </c>
      <c r="L23" s="90">
        <v>45433</v>
      </c>
      <c r="M23" s="90">
        <v>45439</v>
      </c>
      <c r="N23" s="95">
        <f>1898.85/2</f>
        <v>949.42499999999995</v>
      </c>
      <c r="O23" s="95">
        <f>1898.85/2</f>
        <v>949.42499999999995</v>
      </c>
      <c r="P23" s="95">
        <f t="shared" ref="P23:P26" si="12">SUM(N23:O23)</f>
        <v>1898.85</v>
      </c>
      <c r="Q23" s="77">
        <v>0</v>
      </c>
      <c r="R23" s="91">
        <v>120</v>
      </c>
      <c r="S23" s="77">
        <v>0</v>
      </c>
      <c r="T23" s="91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7"/>
    </row>
    <row r="24" spans="1:24" s="92" customFormat="1" ht="15">
      <c r="A24" s="322" t="s">
        <v>253</v>
      </c>
      <c r="B24" s="322" t="s">
        <v>212</v>
      </c>
      <c r="C24" s="322" t="s">
        <v>620</v>
      </c>
      <c r="D24" s="47">
        <v>365</v>
      </c>
      <c r="E24" s="322" t="s">
        <v>34</v>
      </c>
      <c r="F24" s="323" t="s">
        <v>843</v>
      </c>
      <c r="G24" s="322" t="s">
        <v>36</v>
      </c>
      <c r="H24" s="322" t="s">
        <v>37</v>
      </c>
      <c r="I24" s="322" t="s">
        <v>38</v>
      </c>
      <c r="J24" s="322" t="s">
        <v>37</v>
      </c>
      <c r="K24" s="322" t="s">
        <v>391</v>
      </c>
      <c r="L24" s="90">
        <v>45419</v>
      </c>
      <c r="M24" s="90">
        <v>45421</v>
      </c>
      <c r="N24" s="95">
        <f>1566.08/2</f>
        <v>783.04</v>
      </c>
      <c r="O24" s="95">
        <f>1566.08/2</f>
        <v>783.04</v>
      </c>
      <c r="P24" s="95">
        <f t="shared" si="12"/>
        <v>1566.08</v>
      </c>
      <c r="Q24" s="77">
        <v>3</v>
      </c>
      <c r="R24" s="91">
        <v>120</v>
      </c>
      <c r="S24" s="77">
        <v>0</v>
      </c>
      <c r="T24" s="91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7"/>
    </row>
    <row r="25" spans="1:24" s="92" customFormat="1" ht="15">
      <c r="A25" s="322" t="s">
        <v>253</v>
      </c>
      <c r="B25" s="322" t="s">
        <v>212</v>
      </c>
      <c r="C25" s="322" t="s">
        <v>270</v>
      </c>
      <c r="D25" s="47" t="s">
        <v>168</v>
      </c>
      <c r="E25" s="322" t="s">
        <v>599</v>
      </c>
      <c r="F25" s="323" t="s">
        <v>843</v>
      </c>
      <c r="G25" s="322" t="s">
        <v>36</v>
      </c>
      <c r="H25" s="322" t="s">
        <v>37</v>
      </c>
      <c r="I25" s="322" t="s">
        <v>38</v>
      </c>
      <c r="J25" s="322" t="s">
        <v>37</v>
      </c>
      <c r="K25" s="322" t="s">
        <v>391</v>
      </c>
      <c r="L25" s="90">
        <v>45419</v>
      </c>
      <c r="M25" s="90">
        <v>45421</v>
      </c>
      <c r="N25" s="95">
        <f>1566.08/2</f>
        <v>783.04</v>
      </c>
      <c r="O25" s="95">
        <f>1566.08/2</f>
        <v>783.04</v>
      </c>
      <c r="P25" s="95">
        <f t="shared" si="12"/>
        <v>1566.08</v>
      </c>
      <c r="Q25" s="77">
        <v>3</v>
      </c>
      <c r="R25" s="91">
        <v>120</v>
      </c>
      <c r="S25" s="77">
        <v>0</v>
      </c>
      <c r="T25" s="91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7"/>
    </row>
    <row r="26" spans="1:24" s="92" customFormat="1" ht="15">
      <c r="A26" s="322" t="s">
        <v>231</v>
      </c>
      <c r="B26" s="322" t="s">
        <v>462</v>
      </c>
      <c r="C26" s="322" t="s">
        <v>401</v>
      </c>
      <c r="D26" s="47">
        <v>349</v>
      </c>
      <c r="E26" s="322" t="s">
        <v>403</v>
      </c>
      <c r="F26" s="323" t="s">
        <v>844</v>
      </c>
      <c r="G26" s="322" t="s">
        <v>36</v>
      </c>
      <c r="H26" s="322" t="s">
        <v>37</v>
      </c>
      <c r="I26" s="322" t="s">
        <v>38</v>
      </c>
      <c r="J26" s="322" t="s">
        <v>464</v>
      </c>
      <c r="K26" s="322" t="s">
        <v>425</v>
      </c>
      <c r="L26" s="90">
        <v>45419</v>
      </c>
      <c r="M26" s="90">
        <v>45422</v>
      </c>
      <c r="N26" s="95">
        <f>1440.53/2</f>
        <v>720.26499999999999</v>
      </c>
      <c r="O26" s="95">
        <f>1440.53/2</f>
        <v>720.26499999999999</v>
      </c>
      <c r="P26" s="95">
        <f t="shared" si="12"/>
        <v>1440.53</v>
      </c>
      <c r="Q26" s="77">
        <v>4</v>
      </c>
      <c r="R26" s="91">
        <v>120</v>
      </c>
      <c r="S26" s="77">
        <v>0</v>
      </c>
      <c r="T26" s="91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43160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253</v>
      </c>
      <c r="B5" s="322" t="s">
        <v>259</v>
      </c>
      <c r="C5" s="322" t="s">
        <v>831</v>
      </c>
      <c r="D5" s="47">
        <v>410</v>
      </c>
      <c r="E5" s="322" t="s">
        <v>796</v>
      </c>
      <c r="F5" s="323" t="s">
        <v>845</v>
      </c>
      <c r="G5" s="322" t="s">
        <v>36</v>
      </c>
      <c r="H5" s="322" t="s">
        <v>37</v>
      </c>
      <c r="I5" s="322" t="s">
        <v>38</v>
      </c>
      <c r="J5" s="322" t="s">
        <v>37</v>
      </c>
      <c r="K5" s="322" t="s">
        <v>391</v>
      </c>
      <c r="L5" s="90">
        <v>45448</v>
      </c>
      <c r="M5" s="90">
        <v>45450</v>
      </c>
      <c r="N5" s="95">
        <f>1710.08/2</f>
        <v>855.04</v>
      </c>
      <c r="O5" s="95">
        <f>1710.08/2</f>
        <v>855.04</v>
      </c>
      <c r="P5" s="95">
        <f t="shared" ref="P5:P16" si="0">SUM(N5:O5)</f>
        <v>1710.08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7"/>
    </row>
    <row r="6" spans="1:24" s="92" customFormat="1" ht="15">
      <c r="A6" s="322" t="s">
        <v>231</v>
      </c>
      <c r="B6" s="322" t="s">
        <v>231</v>
      </c>
      <c r="C6" s="322" t="s">
        <v>704</v>
      </c>
      <c r="D6" s="47">
        <v>0</v>
      </c>
      <c r="E6" s="322" t="s">
        <v>562</v>
      </c>
      <c r="F6" s="323" t="s">
        <v>846</v>
      </c>
      <c r="G6" s="322" t="s">
        <v>36</v>
      </c>
      <c r="H6" s="322" t="s">
        <v>37</v>
      </c>
      <c r="I6" s="322" t="s">
        <v>38</v>
      </c>
      <c r="J6" s="322" t="s">
        <v>373</v>
      </c>
      <c r="K6" s="322" t="s">
        <v>374</v>
      </c>
      <c r="L6" s="90">
        <v>45448</v>
      </c>
      <c r="M6" s="90">
        <v>45450</v>
      </c>
      <c r="N6" s="95">
        <f>831.54/2</f>
        <v>415.77</v>
      </c>
      <c r="O6" s="95">
        <f>831.54/2</f>
        <v>415.77</v>
      </c>
      <c r="P6" s="95">
        <f t="shared" si="0"/>
        <v>831.54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7"/>
    </row>
    <row r="7" spans="1:24" s="92" customFormat="1" ht="15">
      <c r="A7" s="322" t="s">
        <v>231</v>
      </c>
      <c r="B7" s="322" t="s">
        <v>215</v>
      </c>
      <c r="C7" s="322" t="s">
        <v>746</v>
      </c>
      <c r="D7" s="47">
        <v>386</v>
      </c>
      <c r="E7" s="322" t="s">
        <v>218</v>
      </c>
      <c r="F7" s="323" t="s">
        <v>846</v>
      </c>
      <c r="G7" s="322" t="s">
        <v>36</v>
      </c>
      <c r="H7" s="322" t="s">
        <v>37</v>
      </c>
      <c r="I7" s="322" t="s">
        <v>38</v>
      </c>
      <c r="J7" s="322" t="s">
        <v>373</v>
      </c>
      <c r="K7" s="322" t="s">
        <v>374</v>
      </c>
      <c r="L7" s="90">
        <v>45448</v>
      </c>
      <c r="M7" s="90">
        <v>45450</v>
      </c>
      <c r="N7" s="95">
        <f t="shared" ref="N7:O8" si="4">831.54/2</f>
        <v>415.77</v>
      </c>
      <c r="O7" s="95">
        <f t="shared" si="4"/>
        <v>415.77</v>
      </c>
      <c r="P7" s="95">
        <f t="shared" si="0"/>
        <v>831.54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7"/>
    </row>
    <row r="8" spans="1:24" s="92" customFormat="1" ht="15">
      <c r="A8" s="322" t="s">
        <v>231</v>
      </c>
      <c r="B8" s="322" t="s">
        <v>231</v>
      </c>
      <c r="C8" s="322" t="s">
        <v>768</v>
      </c>
      <c r="D8" s="47">
        <v>392</v>
      </c>
      <c r="E8" s="322" t="s">
        <v>847</v>
      </c>
      <c r="F8" s="323" t="s">
        <v>846</v>
      </c>
      <c r="G8" s="322" t="s">
        <v>36</v>
      </c>
      <c r="H8" s="322" t="s">
        <v>37</v>
      </c>
      <c r="I8" s="322" t="s">
        <v>38</v>
      </c>
      <c r="J8" s="322" t="s">
        <v>373</v>
      </c>
      <c r="K8" s="322" t="s">
        <v>374</v>
      </c>
      <c r="L8" s="90">
        <v>45448</v>
      </c>
      <c r="M8" s="90">
        <v>45450</v>
      </c>
      <c r="N8" s="95">
        <f t="shared" si="4"/>
        <v>415.77</v>
      </c>
      <c r="O8" s="95">
        <f t="shared" si="4"/>
        <v>415.77</v>
      </c>
      <c r="P8" s="95">
        <f t="shared" si="0"/>
        <v>831.54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7"/>
    </row>
    <row r="9" spans="1:24" s="92" customFormat="1" ht="15">
      <c r="A9" s="322" t="s">
        <v>253</v>
      </c>
      <c r="B9" s="322" t="s">
        <v>212</v>
      </c>
      <c r="C9" s="322" t="s">
        <v>96</v>
      </c>
      <c r="D9" s="47">
        <v>73</v>
      </c>
      <c r="E9" s="322" t="s">
        <v>848</v>
      </c>
      <c r="F9" s="323" t="s">
        <v>849</v>
      </c>
      <c r="G9" s="322" t="s">
        <v>36</v>
      </c>
      <c r="H9" s="322" t="s">
        <v>37</v>
      </c>
      <c r="I9" s="322" t="s">
        <v>38</v>
      </c>
      <c r="J9" s="322" t="s">
        <v>39</v>
      </c>
      <c r="K9" s="322" t="s">
        <v>40</v>
      </c>
      <c r="L9" s="90">
        <v>45466</v>
      </c>
      <c r="M9" s="90">
        <v>45471</v>
      </c>
      <c r="N9" s="95">
        <f>1891.11/2</f>
        <v>945.55499999999995</v>
      </c>
      <c r="O9" s="95">
        <f>1891.11/2</f>
        <v>945.55499999999995</v>
      </c>
      <c r="P9" s="95">
        <f t="shared" si="0"/>
        <v>1891.11</v>
      </c>
      <c r="Q9" s="77">
        <v>3</v>
      </c>
      <c r="R9" s="91">
        <v>120</v>
      </c>
      <c r="S9" s="77">
        <v>0</v>
      </c>
      <c r="T9" s="91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7"/>
    </row>
    <row r="10" spans="1:24" s="92" customFormat="1" ht="15">
      <c r="A10" s="322" t="s">
        <v>231</v>
      </c>
      <c r="B10" s="322" t="s">
        <v>231</v>
      </c>
      <c r="C10" s="322" t="s">
        <v>704</v>
      </c>
      <c r="D10" s="47">
        <v>0</v>
      </c>
      <c r="E10" s="322" t="s">
        <v>562</v>
      </c>
      <c r="F10" s="323" t="s">
        <v>563</v>
      </c>
      <c r="G10" s="322" t="s">
        <v>36</v>
      </c>
      <c r="H10" s="322" t="s">
        <v>37</v>
      </c>
      <c r="I10" s="322" t="s">
        <v>38</v>
      </c>
      <c r="J10" s="322" t="s">
        <v>39</v>
      </c>
      <c r="K10" s="322" t="s">
        <v>40</v>
      </c>
      <c r="L10" s="90">
        <v>45462</v>
      </c>
      <c r="M10" s="90">
        <v>45463</v>
      </c>
      <c r="N10" s="95">
        <f>2224.11/2</f>
        <v>1112.0550000000001</v>
      </c>
      <c r="O10" s="95">
        <f>2224.11/2</f>
        <v>1112.0550000000001</v>
      </c>
      <c r="P10" s="95">
        <f t="shared" si="0"/>
        <v>2224.11</v>
      </c>
      <c r="Q10" s="77">
        <v>0</v>
      </c>
      <c r="R10" s="91">
        <v>120</v>
      </c>
      <c r="S10" s="77">
        <v>0</v>
      </c>
      <c r="T10" s="91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7"/>
    </row>
    <row r="11" spans="1:24" s="92" customFormat="1" ht="15">
      <c r="A11" s="322" t="s">
        <v>253</v>
      </c>
      <c r="B11" s="322" t="s">
        <v>322</v>
      </c>
      <c r="C11" s="322" t="s">
        <v>323</v>
      </c>
      <c r="D11" s="47">
        <v>204</v>
      </c>
      <c r="E11" s="322" t="s">
        <v>652</v>
      </c>
      <c r="F11" s="323" t="s">
        <v>850</v>
      </c>
      <c r="G11" s="322" t="s">
        <v>36</v>
      </c>
      <c r="H11" s="322" t="s">
        <v>37</v>
      </c>
      <c r="I11" s="322" t="s">
        <v>38</v>
      </c>
      <c r="J11" s="322" t="s">
        <v>62</v>
      </c>
      <c r="K11" s="322" t="s">
        <v>414</v>
      </c>
      <c r="L11" s="90">
        <v>45468</v>
      </c>
      <c r="M11" s="90">
        <v>45470</v>
      </c>
      <c r="N11" s="95">
        <f>2379.07/2</f>
        <v>1189.5350000000001</v>
      </c>
      <c r="O11" s="95">
        <f>2379.07/2</f>
        <v>1189.5350000000001</v>
      </c>
      <c r="P11" s="95">
        <f t="shared" si="0"/>
        <v>2379.0700000000002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7"/>
    </row>
    <row r="12" spans="1:24" s="92" customFormat="1" ht="15">
      <c r="A12" s="322" t="s">
        <v>231</v>
      </c>
      <c r="B12" s="322" t="s">
        <v>221</v>
      </c>
      <c r="C12" s="322" t="s">
        <v>54</v>
      </c>
      <c r="D12" s="47">
        <v>56</v>
      </c>
      <c r="E12" s="322" t="s">
        <v>610</v>
      </c>
      <c r="F12" s="323" t="s">
        <v>851</v>
      </c>
      <c r="G12" s="322" t="s">
        <v>36</v>
      </c>
      <c r="H12" s="322" t="s">
        <v>62</v>
      </c>
      <c r="I12" s="322" t="s">
        <v>38</v>
      </c>
      <c r="J12" s="322" t="s">
        <v>39</v>
      </c>
      <c r="K12" s="322" t="s">
        <v>40</v>
      </c>
      <c r="L12" s="90">
        <v>45462</v>
      </c>
      <c r="M12" s="90">
        <v>45463</v>
      </c>
      <c r="N12" s="95">
        <f>2610.87/2</f>
        <v>1305.4349999999999</v>
      </c>
      <c r="O12" s="95">
        <f>2610.87/2</f>
        <v>1305.4349999999999</v>
      </c>
      <c r="P12" s="95">
        <f t="shared" si="0"/>
        <v>2610.87</v>
      </c>
      <c r="Q12" s="77">
        <v>2</v>
      </c>
      <c r="R12" s="91">
        <v>120</v>
      </c>
      <c r="S12" s="77">
        <v>0</v>
      </c>
      <c r="T12" s="91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7"/>
    </row>
    <row r="13" spans="1:24" s="92" customFormat="1" ht="15">
      <c r="A13" s="322" t="s">
        <v>253</v>
      </c>
      <c r="B13" s="322" t="s">
        <v>322</v>
      </c>
      <c r="C13" s="322" t="s">
        <v>350</v>
      </c>
      <c r="D13" s="47">
        <v>128</v>
      </c>
      <c r="E13" s="322" t="s">
        <v>830</v>
      </c>
      <c r="F13" s="323" t="s">
        <v>850</v>
      </c>
      <c r="G13" s="322" t="s">
        <v>36</v>
      </c>
      <c r="H13" s="322" t="s">
        <v>37</v>
      </c>
      <c r="I13" s="322" t="s">
        <v>38</v>
      </c>
      <c r="J13" s="322" t="s">
        <v>62</v>
      </c>
      <c r="K13" s="322" t="s">
        <v>414</v>
      </c>
      <c r="L13" s="90">
        <v>45468</v>
      </c>
      <c r="M13" s="90">
        <v>45470</v>
      </c>
      <c r="N13" s="95">
        <f>2379.97/2</f>
        <v>1189.9849999999999</v>
      </c>
      <c r="O13" s="95">
        <f>2379.97/2</f>
        <v>1189.9849999999999</v>
      </c>
      <c r="P13" s="95">
        <f t="shared" si="0"/>
        <v>2379.9699999999998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7"/>
    </row>
    <row r="14" spans="1:24" s="92" customFormat="1" ht="15">
      <c r="A14" s="322" t="s">
        <v>253</v>
      </c>
      <c r="B14" s="322" t="s">
        <v>212</v>
      </c>
      <c r="C14" s="322" t="s">
        <v>539</v>
      </c>
      <c r="D14" s="47">
        <v>159</v>
      </c>
      <c r="E14" s="322" t="s">
        <v>541</v>
      </c>
      <c r="F14" s="323" t="s">
        <v>852</v>
      </c>
      <c r="G14" s="322" t="s">
        <v>36</v>
      </c>
      <c r="H14" s="322" t="s">
        <v>37</v>
      </c>
      <c r="I14" s="322" t="s">
        <v>38</v>
      </c>
      <c r="J14" s="322" t="s">
        <v>116</v>
      </c>
      <c r="K14" s="322" t="s">
        <v>821</v>
      </c>
      <c r="L14" s="90">
        <v>45469</v>
      </c>
      <c r="M14" s="90">
        <v>45470</v>
      </c>
      <c r="N14" s="95">
        <f>1851/2</f>
        <v>925.5</v>
      </c>
      <c r="O14" s="95">
        <f>1851/2</f>
        <v>925.5</v>
      </c>
      <c r="P14" s="95">
        <f t="shared" si="0"/>
        <v>1851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7"/>
    </row>
    <row r="15" spans="1:24" s="92" customFormat="1" ht="15">
      <c r="A15" s="322" t="s">
        <v>253</v>
      </c>
      <c r="B15" s="322" t="s">
        <v>288</v>
      </c>
      <c r="C15" s="322" t="s">
        <v>237</v>
      </c>
      <c r="D15" s="47">
        <v>82</v>
      </c>
      <c r="E15" s="322" t="s">
        <v>84</v>
      </c>
      <c r="F15" s="323" t="s">
        <v>853</v>
      </c>
      <c r="G15" s="322" t="s">
        <v>36</v>
      </c>
      <c r="H15" s="322" t="s">
        <v>37</v>
      </c>
      <c r="I15" s="322" t="s">
        <v>38</v>
      </c>
      <c r="J15" s="322" t="s">
        <v>37</v>
      </c>
      <c r="K15" s="322" t="s">
        <v>391</v>
      </c>
      <c r="L15" s="90">
        <v>45459</v>
      </c>
      <c r="M15" s="90">
        <v>45461</v>
      </c>
      <c r="N15" s="95">
        <f>2101.95/2</f>
        <v>1050.9749999999999</v>
      </c>
      <c r="O15" s="95">
        <f>2101.95/2</f>
        <v>1050.9749999999999</v>
      </c>
      <c r="P15" s="95">
        <f t="shared" si="0"/>
        <v>2101.9499999999998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7"/>
    </row>
    <row r="16" spans="1:24" s="92" customFormat="1" ht="15">
      <c r="A16" s="322" t="s">
        <v>371</v>
      </c>
      <c r="B16" s="322" t="s">
        <v>273</v>
      </c>
      <c r="C16" s="322" t="s">
        <v>752</v>
      </c>
      <c r="D16" s="47">
        <v>384</v>
      </c>
      <c r="E16" s="322" t="s">
        <v>753</v>
      </c>
      <c r="F16" s="323" t="s">
        <v>854</v>
      </c>
      <c r="G16" s="322" t="s">
        <v>36</v>
      </c>
      <c r="H16" s="322" t="s">
        <v>37</v>
      </c>
      <c r="I16" s="322" t="s">
        <v>38</v>
      </c>
      <c r="J16" s="322" t="s">
        <v>116</v>
      </c>
      <c r="K16" s="322" t="s">
        <v>821</v>
      </c>
      <c r="L16" s="90">
        <v>45469</v>
      </c>
      <c r="M16" s="90">
        <v>45470</v>
      </c>
      <c r="N16" s="95">
        <f>1852/2</f>
        <v>926</v>
      </c>
      <c r="O16" s="95">
        <f>1852/2</f>
        <v>926</v>
      </c>
      <c r="P16" s="95">
        <f t="shared" si="0"/>
        <v>1852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topLeftCell="D1" workbookViewId="0">
      <selection activeCell="M30" sqref="M30"/>
    </sheetView>
  </sheetViews>
  <sheetFormatPr defaultRowHeight="14.25"/>
  <cols>
    <col min="1" max="1" width="31.6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625" customWidth="1"/>
    <col min="7" max="7" width="9.125" bestFit="1" customWidth="1"/>
    <col min="8" max="8" width="3.375" bestFit="1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855</v>
      </c>
      <c r="B5" s="322" t="s">
        <v>855</v>
      </c>
      <c r="C5" s="322" t="s">
        <v>387</v>
      </c>
      <c r="D5" s="47">
        <v>0</v>
      </c>
      <c r="E5" s="322" t="s">
        <v>50</v>
      </c>
      <c r="F5" s="323" t="s">
        <v>801</v>
      </c>
      <c r="G5" s="322" t="s">
        <v>36</v>
      </c>
      <c r="H5" s="322" t="s">
        <v>37</v>
      </c>
      <c r="I5" s="322" t="s">
        <v>38</v>
      </c>
      <c r="J5" s="322" t="s">
        <v>62</v>
      </c>
      <c r="K5" s="322" t="s">
        <v>63</v>
      </c>
      <c r="L5" s="90">
        <v>45483</v>
      </c>
      <c r="M5" s="90">
        <v>45490</v>
      </c>
      <c r="N5" s="95">
        <f>1982.97/2</f>
        <v>991.48500000000001</v>
      </c>
      <c r="O5" s="95">
        <f>1982.97/2</f>
        <v>991.48500000000001</v>
      </c>
      <c r="P5" s="95">
        <f t="shared" ref="P5:P10" si="0">SUM(N5:O5)</f>
        <v>1982.97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7"/>
    </row>
    <row r="6" spans="1:24" s="92" customFormat="1" ht="30">
      <c r="A6" s="322" t="s">
        <v>231</v>
      </c>
      <c r="B6" s="322" t="s">
        <v>231</v>
      </c>
      <c r="C6" s="322" t="s">
        <v>704</v>
      </c>
      <c r="D6" s="47">
        <v>0</v>
      </c>
      <c r="E6" s="322" t="s">
        <v>562</v>
      </c>
      <c r="F6" s="323" t="s">
        <v>856</v>
      </c>
      <c r="G6" s="322" t="s">
        <v>36</v>
      </c>
      <c r="H6" s="322" t="s">
        <v>37</v>
      </c>
      <c r="I6" s="322" t="s">
        <v>38</v>
      </c>
      <c r="J6" s="322" t="s">
        <v>409</v>
      </c>
      <c r="K6" s="322" t="s">
        <v>410</v>
      </c>
      <c r="L6" s="90">
        <v>45497</v>
      </c>
      <c r="M6" s="90">
        <v>45498</v>
      </c>
      <c r="N6" s="95">
        <f>2494.34/2</f>
        <v>1247.17</v>
      </c>
      <c r="O6" s="95">
        <f>2494.34/2</f>
        <v>1247.17</v>
      </c>
      <c r="P6" s="95">
        <f t="shared" si="0"/>
        <v>2494.34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7"/>
    </row>
    <row r="7" spans="1:24" s="92" customFormat="1" ht="15">
      <c r="A7" s="322" t="s">
        <v>231</v>
      </c>
      <c r="B7" s="322" t="s">
        <v>366</v>
      </c>
      <c r="C7" s="322" t="s">
        <v>789</v>
      </c>
      <c r="D7" s="47">
        <v>393</v>
      </c>
      <c r="E7" s="323" t="s">
        <v>790</v>
      </c>
      <c r="F7" s="323" t="s">
        <v>857</v>
      </c>
      <c r="G7" s="322" t="s">
        <v>36</v>
      </c>
      <c r="H7" s="322" t="s">
        <v>37</v>
      </c>
      <c r="I7" s="322" t="s">
        <v>38</v>
      </c>
      <c r="J7" s="322" t="s">
        <v>409</v>
      </c>
      <c r="K7" s="322" t="s">
        <v>410</v>
      </c>
      <c r="L7" s="90">
        <v>45497</v>
      </c>
      <c r="M7" s="90">
        <v>45498</v>
      </c>
      <c r="N7" s="95">
        <f>2170.94/2</f>
        <v>1085.47</v>
      </c>
      <c r="O7" s="95">
        <f>2170.94/2</f>
        <v>1085.47</v>
      </c>
      <c r="P7" s="173">
        <f t="shared" si="0"/>
        <v>2170.94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7"/>
    </row>
    <row r="8" spans="1:24" s="92" customFormat="1" ht="15">
      <c r="A8" s="329" t="s">
        <v>231</v>
      </c>
      <c r="B8" s="329" t="s">
        <v>231</v>
      </c>
      <c r="C8" s="329" t="s">
        <v>704</v>
      </c>
      <c r="D8" s="256">
        <v>0</v>
      </c>
      <c r="E8" s="327" t="s">
        <v>562</v>
      </c>
      <c r="F8" s="333" t="s">
        <v>857</v>
      </c>
      <c r="G8" s="322" t="s">
        <v>36</v>
      </c>
      <c r="H8" s="322" t="s">
        <v>37</v>
      </c>
      <c r="I8" s="322" t="s">
        <v>38</v>
      </c>
      <c r="J8" s="322" t="s">
        <v>39</v>
      </c>
      <c r="K8" s="322" t="s">
        <v>40</v>
      </c>
      <c r="L8" s="97">
        <v>45482</v>
      </c>
      <c r="M8" s="97">
        <v>45484</v>
      </c>
      <c r="N8" s="95">
        <f>2015.83/2</f>
        <v>1007.915</v>
      </c>
      <c r="O8" s="95">
        <f>2015.83/2</f>
        <v>1007.915</v>
      </c>
      <c r="P8" s="95">
        <f t="shared" si="0"/>
        <v>2015.83</v>
      </c>
      <c r="Q8" s="250">
        <v>0</v>
      </c>
      <c r="R8" s="252">
        <v>120</v>
      </c>
      <c r="S8" s="250">
        <v>0</v>
      </c>
      <c r="T8" s="252">
        <v>0</v>
      </c>
      <c r="U8" s="247">
        <f t="shared" si="1"/>
        <v>0</v>
      </c>
      <c r="V8" s="247">
        <f t="shared" si="2"/>
        <v>2015.83</v>
      </c>
      <c r="W8" s="247">
        <f t="shared" si="3"/>
        <v>2015.83</v>
      </c>
      <c r="X8" s="250"/>
    </row>
    <row r="9" spans="1:24" s="92" customFormat="1" ht="15">
      <c r="A9" s="329"/>
      <c r="B9" s="329"/>
      <c r="C9" s="329"/>
      <c r="D9" s="257"/>
      <c r="E9" s="330"/>
      <c r="F9" s="333"/>
      <c r="G9" s="322" t="s">
        <v>36</v>
      </c>
      <c r="H9" s="322" t="s">
        <v>39</v>
      </c>
      <c r="I9" s="322" t="s">
        <v>40</v>
      </c>
      <c r="J9" s="322" t="s">
        <v>62</v>
      </c>
      <c r="K9" s="322" t="s">
        <v>63</v>
      </c>
      <c r="L9" s="97">
        <v>45484</v>
      </c>
      <c r="M9" s="97">
        <v>45485</v>
      </c>
      <c r="N9" s="95">
        <f>1998.31/2</f>
        <v>999.15499999999997</v>
      </c>
      <c r="O9" s="95">
        <f>1998.31/2</f>
        <v>999.15499999999997</v>
      </c>
      <c r="P9" s="95">
        <f t="shared" si="0"/>
        <v>1998.31</v>
      </c>
      <c r="Q9" s="265"/>
      <c r="R9" s="259"/>
      <c r="S9" s="265"/>
      <c r="T9" s="259"/>
      <c r="U9" s="264"/>
      <c r="V9" s="264"/>
      <c r="W9" s="264"/>
      <c r="X9" s="265"/>
    </row>
    <row r="10" spans="1:24" ht="15">
      <c r="A10" s="329"/>
      <c r="B10" s="329"/>
      <c r="C10" s="329"/>
      <c r="D10" s="258"/>
      <c r="E10" s="328"/>
      <c r="F10" s="333"/>
      <c r="G10" s="322" t="s">
        <v>36</v>
      </c>
      <c r="H10" s="322" t="s">
        <v>62</v>
      </c>
      <c r="I10" s="322" t="s">
        <v>63</v>
      </c>
      <c r="J10" s="322" t="s">
        <v>37</v>
      </c>
      <c r="K10" s="322" t="s">
        <v>38</v>
      </c>
      <c r="L10" s="97">
        <v>45485</v>
      </c>
      <c r="M10" s="97">
        <v>45485</v>
      </c>
      <c r="N10" s="95">
        <f>2400.31/2</f>
        <v>1200.155</v>
      </c>
      <c r="O10" s="95">
        <f>2400.31/2</f>
        <v>1200.155</v>
      </c>
      <c r="P10" s="95">
        <f t="shared" si="0"/>
        <v>2400.31</v>
      </c>
      <c r="Q10" s="251"/>
      <c r="R10" s="253"/>
      <c r="S10" s="251"/>
      <c r="T10" s="253"/>
      <c r="U10" s="248"/>
      <c r="V10" s="248"/>
      <c r="W10" s="248"/>
      <c r="X10" s="251"/>
    </row>
  </sheetData>
  <mergeCells count="40"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abSelected="1" topLeftCell="A40" zoomScale="90" zoomScaleNormal="90" workbookViewId="0">
      <selection activeCell="F50" sqref="F50"/>
    </sheetView>
  </sheetViews>
  <sheetFormatPr defaultRowHeight="15"/>
  <cols>
    <col min="1" max="1" width="38.5" bestFit="1" customWidth="1"/>
    <col min="2" max="2" width="43.375" customWidth="1"/>
    <col min="3" max="3" width="33.875" style="102" customWidth="1"/>
    <col min="4" max="4" width="9.125" style="104" bestFit="1" customWidth="1"/>
    <col min="5" max="5" width="13.375" style="146" bestFit="1" customWidth="1"/>
    <col min="6" max="6" width="29.75" style="103" customWidth="1"/>
    <col min="7" max="7" width="13.875" bestFit="1" customWidth="1"/>
    <col min="8" max="8" width="31.125" style="102" bestFit="1" customWidth="1"/>
    <col min="9" max="9" width="11.5" style="102" bestFit="1" customWidth="1"/>
    <col min="10" max="10" width="9.875" style="102" customWidth="1"/>
    <col min="11" max="12" width="12" style="138" bestFit="1" customWidth="1"/>
    <col min="13" max="13" width="13.125" style="102" bestFit="1" customWidth="1"/>
    <col min="14" max="14" width="11.125" style="103" bestFit="1" customWidth="1"/>
    <col min="15" max="15" width="12.625" style="102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1.25" bestFit="1" customWidth="1"/>
    <col min="21" max="21" width="64" style="102" bestFit="1" customWidth="1"/>
  </cols>
  <sheetData>
    <row r="1" spans="1:21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243"/>
      <c r="J2" s="243"/>
      <c r="K2" s="289" t="s">
        <v>5</v>
      </c>
      <c r="L2" s="289"/>
      <c r="M2" s="289"/>
      <c r="N2" s="190" t="s">
        <v>6</v>
      </c>
      <c r="O2" s="190"/>
      <c r="P2" s="190"/>
      <c r="Q2" s="190"/>
      <c r="R2" s="190"/>
      <c r="S2" s="190"/>
      <c r="T2" s="190" t="s">
        <v>7</v>
      </c>
      <c r="U2" s="290" t="s">
        <v>8</v>
      </c>
    </row>
    <row r="3" spans="1:21" s="104" customFormat="1">
      <c r="A3" s="286" t="s">
        <v>9</v>
      </c>
      <c r="B3" s="286" t="s">
        <v>10</v>
      </c>
      <c r="C3" s="284" t="s">
        <v>11</v>
      </c>
      <c r="D3" s="286" t="s">
        <v>12</v>
      </c>
      <c r="E3" s="292" t="s">
        <v>13</v>
      </c>
      <c r="F3" s="284" t="s">
        <v>14</v>
      </c>
      <c r="G3" s="286" t="s">
        <v>15</v>
      </c>
      <c r="H3" s="294" t="s">
        <v>858</v>
      </c>
      <c r="I3" s="276" t="s">
        <v>18</v>
      </c>
      <c r="J3" s="276" t="s">
        <v>19</v>
      </c>
      <c r="K3" s="278" t="s">
        <v>20</v>
      </c>
      <c r="L3" s="280" t="s">
        <v>21</v>
      </c>
      <c r="M3" s="282" t="s">
        <v>22</v>
      </c>
      <c r="N3" s="282" t="s">
        <v>23</v>
      </c>
      <c r="O3" s="282"/>
      <c r="P3" s="274" t="s">
        <v>24</v>
      </c>
      <c r="Q3" s="274"/>
      <c r="R3" s="286" t="s">
        <v>25</v>
      </c>
      <c r="S3" s="274" t="s">
        <v>22</v>
      </c>
      <c r="T3" s="190"/>
      <c r="U3" s="290"/>
    </row>
    <row r="4" spans="1:21" s="104" customFormat="1">
      <c r="A4" s="287"/>
      <c r="B4" s="287"/>
      <c r="C4" s="285"/>
      <c r="D4" s="287"/>
      <c r="E4" s="293"/>
      <c r="F4" s="285"/>
      <c r="G4" s="287"/>
      <c r="H4" s="295"/>
      <c r="I4" s="277"/>
      <c r="J4" s="277"/>
      <c r="K4" s="279"/>
      <c r="L4" s="281"/>
      <c r="M4" s="283"/>
      <c r="N4" s="139" t="s">
        <v>29</v>
      </c>
      <c r="O4" s="140" t="s">
        <v>30</v>
      </c>
      <c r="P4" s="141" t="s">
        <v>29</v>
      </c>
      <c r="Q4" s="142" t="s">
        <v>30</v>
      </c>
      <c r="R4" s="287"/>
      <c r="S4" s="275"/>
      <c r="T4" s="243"/>
      <c r="U4" s="291"/>
    </row>
    <row r="5" spans="1:21" s="92" customFormat="1" ht="60" hidden="1">
      <c r="A5" s="322" t="s">
        <v>253</v>
      </c>
      <c r="B5" s="322" t="s">
        <v>859</v>
      </c>
      <c r="C5" s="322" t="s">
        <v>802</v>
      </c>
      <c r="D5" s="144">
        <v>404</v>
      </c>
      <c r="E5" s="111" t="s">
        <v>860</v>
      </c>
      <c r="F5" s="121" t="s">
        <v>861</v>
      </c>
      <c r="G5" s="322" t="s">
        <v>36</v>
      </c>
      <c r="H5" s="322" t="s">
        <v>862</v>
      </c>
      <c r="I5" s="124">
        <v>45510</v>
      </c>
      <c r="J5" s="124">
        <v>45511</v>
      </c>
      <c r="K5" s="125">
        <f>M5/2</f>
        <v>1250.6099999999999</v>
      </c>
      <c r="L5" s="125">
        <f>M5/2</f>
        <v>1250.6099999999999</v>
      </c>
      <c r="M5" s="125">
        <v>2501.2199999999998</v>
      </c>
      <c r="N5" s="106">
        <f>(J5-I5)+1</f>
        <v>2</v>
      </c>
      <c r="O5" s="126">
        <v>120</v>
      </c>
      <c r="P5" s="84">
        <v>0</v>
      </c>
      <c r="Q5" s="95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06"/>
    </row>
    <row r="6" spans="1:21" s="92" customFormat="1" ht="45" hidden="1">
      <c r="A6" s="322" t="s">
        <v>231</v>
      </c>
      <c r="B6" s="322" t="s">
        <v>231</v>
      </c>
      <c r="C6" s="123" t="s">
        <v>768</v>
      </c>
      <c r="D6" s="147">
        <v>392</v>
      </c>
      <c r="E6" s="111" t="s">
        <v>798</v>
      </c>
      <c r="F6" s="121" t="s">
        <v>861</v>
      </c>
      <c r="G6" s="322" t="s">
        <v>36</v>
      </c>
      <c r="H6" s="322" t="s">
        <v>862</v>
      </c>
      <c r="I6" s="124">
        <v>45510</v>
      </c>
      <c r="J6" s="124">
        <v>45511</v>
      </c>
      <c r="K6" s="125">
        <f t="shared" ref="K6:K21" si="3">M6/2</f>
        <v>1341.84</v>
      </c>
      <c r="L6" s="125">
        <f t="shared" ref="L6:L21" si="4">M6/2</f>
        <v>1341.84</v>
      </c>
      <c r="M6" s="125">
        <v>2683.68</v>
      </c>
      <c r="N6" s="106">
        <f>(J6-I6)+1</f>
        <v>2</v>
      </c>
      <c r="O6" s="126">
        <v>120</v>
      </c>
      <c r="P6" s="84">
        <v>0</v>
      </c>
      <c r="Q6" s="95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06"/>
    </row>
    <row r="7" spans="1:21" s="92" customFormat="1" ht="45">
      <c r="A7" s="322" t="s">
        <v>231</v>
      </c>
      <c r="B7" s="322" t="s">
        <v>231</v>
      </c>
      <c r="C7" s="322" t="s">
        <v>863</v>
      </c>
      <c r="D7" s="167">
        <v>0</v>
      </c>
      <c r="E7" s="111" t="s">
        <v>87</v>
      </c>
      <c r="F7" s="121" t="s">
        <v>861</v>
      </c>
      <c r="G7" s="322" t="s">
        <v>36</v>
      </c>
      <c r="H7" s="322" t="s">
        <v>862</v>
      </c>
      <c r="I7" s="124">
        <v>45510</v>
      </c>
      <c r="J7" s="124">
        <v>45511</v>
      </c>
      <c r="K7" s="135">
        <f t="shared" si="3"/>
        <v>958.51499999999999</v>
      </c>
      <c r="L7" s="135">
        <f t="shared" si="4"/>
        <v>958.51499999999999</v>
      </c>
      <c r="M7" s="135">
        <v>1917.03</v>
      </c>
      <c r="N7" s="106">
        <v>0</v>
      </c>
      <c r="O7" s="135">
        <v>120</v>
      </c>
      <c r="P7" s="84">
        <v>0</v>
      </c>
      <c r="Q7" s="174">
        <v>0</v>
      </c>
      <c r="R7" s="120">
        <f t="shared" si="0"/>
        <v>0</v>
      </c>
      <c r="S7" s="120">
        <f t="shared" si="1"/>
        <v>1917.03</v>
      </c>
      <c r="T7" s="120">
        <f t="shared" si="2"/>
        <v>1917.03</v>
      </c>
      <c r="U7" s="121" t="s">
        <v>861</v>
      </c>
    </row>
    <row r="8" spans="1:21" s="92" customFormat="1">
      <c r="A8" s="327" t="s">
        <v>272</v>
      </c>
      <c r="B8" s="327" t="s">
        <v>272</v>
      </c>
      <c r="C8" s="327" t="s">
        <v>819</v>
      </c>
      <c r="D8" s="272">
        <v>0</v>
      </c>
      <c r="E8" s="333" t="s">
        <v>864</v>
      </c>
      <c r="F8" s="288" t="s">
        <v>865</v>
      </c>
      <c r="G8" s="322" t="s">
        <v>36</v>
      </c>
      <c r="H8" s="123" t="s">
        <v>866</v>
      </c>
      <c r="I8" s="124">
        <v>45512</v>
      </c>
      <c r="J8" s="106"/>
      <c r="K8" s="135">
        <f t="shared" si="3"/>
        <v>895.21500000000003</v>
      </c>
      <c r="L8" s="135">
        <f t="shared" si="4"/>
        <v>895.21500000000003</v>
      </c>
      <c r="M8" s="135">
        <f>1734.21+56.22</f>
        <v>1790.43</v>
      </c>
      <c r="N8" s="266">
        <v>0</v>
      </c>
      <c r="O8" s="135">
        <v>120</v>
      </c>
      <c r="P8" s="84">
        <v>0</v>
      </c>
      <c r="Q8" s="158">
        <v>0</v>
      </c>
      <c r="R8" s="154">
        <f t="shared" si="0"/>
        <v>0</v>
      </c>
      <c r="S8" s="154">
        <f t="shared" si="1"/>
        <v>1790.43</v>
      </c>
      <c r="T8" s="154">
        <f t="shared" si="2"/>
        <v>1790.43</v>
      </c>
      <c r="U8" s="288" t="s">
        <v>865</v>
      </c>
    </row>
    <row r="9" spans="1:21" s="92" customFormat="1">
      <c r="A9" s="328"/>
      <c r="B9" s="328"/>
      <c r="C9" s="328"/>
      <c r="D9" s="273"/>
      <c r="E9" s="333"/>
      <c r="F9" s="334"/>
      <c r="G9" s="322" t="s">
        <v>36</v>
      </c>
      <c r="H9" s="123" t="s">
        <v>867</v>
      </c>
      <c r="I9" s="124">
        <v>45513</v>
      </c>
      <c r="J9" s="106"/>
      <c r="K9" s="135">
        <f t="shared" si="3"/>
        <v>496.47</v>
      </c>
      <c r="L9" s="135">
        <f t="shared" si="4"/>
        <v>496.47</v>
      </c>
      <c r="M9" s="135">
        <f>938.74+54.2</f>
        <v>992.94</v>
      </c>
      <c r="N9" s="268"/>
      <c r="O9" s="135">
        <v>120</v>
      </c>
      <c r="P9" s="84">
        <v>0</v>
      </c>
      <c r="Q9" s="158">
        <v>0</v>
      </c>
      <c r="R9" s="154">
        <f t="shared" si="0"/>
        <v>0</v>
      </c>
      <c r="S9" s="154">
        <f t="shared" si="1"/>
        <v>992.94</v>
      </c>
      <c r="T9" s="154">
        <f t="shared" si="2"/>
        <v>992.94</v>
      </c>
      <c r="U9" s="334"/>
    </row>
    <row r="10" spans="1:21">
      <c r="A10" s="327" t="s">
        <v>253</v>
      </c>
      <c r="B10" s="327" t="s">
        <v>253</v>
      </c>
      <c r="C10" s="327" t="s">
        <v>387</v>
      </c>
      <c r="D10" s="272">
        <v>0</v>
      </c>
      <c r="E10" s="288" t="s">
        <v>868</v>
      </c>
      <c r="F10" s="288" t="s">
        <v>865</v>
      </c>
      <c r="G10" s="322" t="s">
        <v>36</v>
      </c>
      <c r="H10" s="322" t="s">
        <v>869</v>
      </c>
      <c r="I10" s="124">
        <v>45513</v>
      </c>
      <c r="J10" s="106"/>
      <c r="K10" s="135">
        <f>1234+54.2</f>
        <v>1288.2</v>
      </c>
      <c r="L10" s="135">
        <v>0</v>
      </c>
      <c r="M10" s="135">
        <f>K10+L10</f>
        <v>1288.2</v>
      </c>
      <c r="N10" s="266">
        <v>0</v>
      </c>
      <c r="O10" s="135">
        <v>120</v>
      </c>
      <c r="P10" s="84">
        <v>0</v>
      </c>
      <c r="Q10" s="158">
        <v>0</v>
      </c>
      <c r="R10" s="154">
        <f t="shared" si="0"/>
        <v>0</v>
      </c>
      <c r="S10" s="154">
        <f t="shared" si="1"/>
        <v>1288.2</v>
      </c>
      <c r="T10" s="154">
        <f t="shared" si="2"/>
        <v>1288.2</v>
      </c>
      <c r="U10" s="288" t="s">
        <v>865</v>
      </c>
    </row>
    <row r="11" spans="1:21">
      <c r="A11" s="328"/>
      <c r="B11" s="328"/>
      <c r="C11" s="328"/>
      <c r="D11" s="273"/>
      <c r="E11" s="334"/>
      <c r="F11" s="334"/>
      <c r="G11" s="322" t="s">
        <v>36</v>
      </c>
      <c r="H11" s="106" t="s">
        <v>870</v>
      </c>
      <c r="I11" s="124">
        <v>45515</v>
      </c>
      <c r="J11" s="106"/>
      <c r="K11" s="135">
        <f>532.21+400</f>
        <v>932.21</v>
      </c>
      <c r="L11" s="135">
        <v>0</v>
      </c>
      <c r="M11" s="135">
        <f>K11+L11</f>
        <v>932.21</v>
      </c>
      <c r="N11" s="268"/>
      <c r="O11" s="135">
        <v>120</v>
      </c>
      <c r="P11" s="84">
        <v>0</v>
      </c>
      <c r="Q11" s="158">
        <v>0</v>
      </c>
      <c r="R11" s="154">
        <f t="shared" si="0"/>
        <v>0</v>
      </c>
      <c r="S11" s="154">
        <f t="shared" si="1"/>
        <v>932.21</v>
      </c>
      <c r="T11" s="154">
        <f t="shared" si="2"/>
        <v>932.21</v>
      </c>
      <c r="U11" s="334"/>
    </row>
    <row r="12" spans="1:21" ht="15" hidden="1" customHeight="1">
      <c r="A12" s="322" t="s">
        <v>272</v>
      </c>
      <c r="B12" s="322" t="s">
        <v>871</v>
      </c>
      <c r="C12" s="170" t="s">
        <v>872</v>
      </c>
      <c r="D12" s="167"/>
      <c r="E12" s="323" t="s">
        <v>873</v>
      </c>
      <c r="F12" s="106" t="s">
        <v>874</v>
      </c>
      <c r="G12" s="335" t="s">
        <v>36</v>
      </c>
      <c r="H12" s="110" t="s">
        <v>875</v>
      </c>
      <c r="I12" s="163">
        <v>45512</v>
      </c>
      <c r="J12" s="124">
        <v>45513</v>
      </c>
      <c r="K12" s="135">
        <f>1128.44+56.22</f>
        <v>1184.6600000000001</v>
      </c>
      <c r="L12" s="135">
        <f>515.43+32.1</f>
        <v>547.53</v>
      </c>
      <c r="M12" s="135">
        <f>K12+L12</f>
        <v>1732.19</v>
      </c>
      <c r="N12" s="106">
        <f>(J12-I12)+1</f>
        <v>2</v>
      </c>
      <c r="O12" s="135">
        <v>120</v>
      </c>
      <c r="P12" s="101">
        <v>0</v>
      </c>
      <c r="Q12" s="168">
        <v>0</v>
      </c>
      <c r="R12" s="169">
        <f t="shared" si="0"/>
        <v>240</v>
      </c>
      <c r="S12" s="169">
        <f t="shared" si="1"/>
        <v>1972.19</v>
      </c>
      <c r="T12" s="169">
        <f t="shared" si="2"/>
        <v>1972.19</v>
      </c>
      <c r="U12" s="106" t="s">
        <v>874</v>
      </c>
    </row>
    <row r="13" spans="1:21" ht="30" hidden="1" customHeight="1">
      <c r="A13" s="322" t="s">
        <v>272</v>
      </c>
      <c r="B13" s="322" t="s">
        <v>871</v>
      </c>
      <c r="C13" s="322" t="s">
        <v>876</v>
      </c>
      <c r="D13" s="167"/>
      <c r="E13" s="323" t="s">
        <v>663</v>
      </c>
      <c r="F13" s="106" t="s">
        <v>874</v>
      </c>
      <c r="G13" s="335" t="s">
        <v>36</v>
      </c>
      <c r="H13" s="110" t="s">
        <v>875</v>
      </c>
      <c r="I13" s="163">
        <v>45512</v>
      </c>
      <c r="J13" s="124">
        <v>45514</v>
      </c>
      <c r="K13" s="135">
        <f>M13/2</f>
        <v>639.48500000000001</v>
      </c>
      <c r="L13" s="135">
        <f>N13/2</f>
        <v>1</v>
      </c>
      <c r="M13" s="135">
        <f>1190.65+88.32</f>
        <v>1278.97</v>
      </c>
      <c r="N13" s="106">
        <v>2</v>
      </c>
      <c r="O13" s="135">
        <v>120</v>
      </c>
      <c r="P13" s="101">
        <v>0</v>
      </c>
      <c r="Q13" s="168">
        <v>0</v>
      </c>
      <c r="R13" s="169">
        <f t="shared" si="0"/>
        <v>240</v>
      </c>
      <c r="S13" s="169">
        <f t="shared" si="1"/>
        <v>1518.97</v>
      </c>
      <c r="T13" s="169">
        <f t="shared" si="2"/>
        <v>1518.97</v>
      </c>
      <c r="U13" s="106" t="s">
        <v>874</v>
      </c>
    </row>
    <row r="14" spans="1:21" ht="45" hidden="1" customHeight="1">
      <c r="A14" s="335" t="s">
        <v>253</v>
      </c>
      <c r="B14" s="335" t="s">
        <v>877</v>
      </c>
      <c r="C14" s="335" t="s">
        <v>878</v>
      </c>
      <c r="D14" s="175"/>
      <c r="E14" s="336" t="s">
        <v>879</v>
      </c>
      <c r="F14" s="106" t="s">
        <v>874</v>
      </c>
      <c r="G14" s="335" t="s">
        <v>36</v>
      </c>
      <c r="H14" s="110" t="s">
        <v>875</v>
      </c>
      <c r="I14" s="163">
        <v>45512</v>
      </c>
      <c r="J14" s="163">
        <v>45515</v>
      </c>
      <c r="K14" s="176">
        <f t="shared" si="3"/>
        <v>921.56</v>
      </c>
      <c r="L14" s="176">
        <f t="shared" si="4"/>
        <v>921.56</v>
      </c>
      <c r="M14" s="165">
        <v>1843.12</v>
      </c>
      <c r="N14" s="162">
        <v>2</v>
      </c>
      <c r="O14" s="177">
        <v>120</v>
      </c>
      <c r="P14" s="101">
        <v>0</v>
      </c>
      <c r="Q14" s="168">
        <v>0</v>
      </c>
      <c r="R14" s="169">
        <f t="shared" si="0"/>
        <v>240</v>
      </c>
      <c r="S14" s="169">
        <f t="shared" si="1"/>
        <v>2083.12</v>
      </c>
      <c r="T14" s="169">
        <f t="shared" si="2"/>
        <v>2083.12</v>
      </c>
      <c r="U14" s="106" t="s">
        <v>874</v>
      </c>
    </row>
    <row r="15" spans="1:21" ht="30">
      <c r="A15" s="322" t="s">
        <v>231</v>
      </c>
      <c r="B15" s="322" t="s">
        <v>231</v>
      </c>
      <c r="C15" s="106" t="s">
        <v>863</v>
      </c>
      <c r="D15" s="84">
        <v>0</v>
      </c>
      <c r="E15" s="111" t="s">
        <v>87</v>
      </c>
      <c r="F15" s="106" t="s">
        <v>880</v>
      </c>
      <c r="G15" s="322" t="s">
        <v>36</v>
      </c>
      <c r="H15" s="106" t="s">
        <v>875</v>
      </c>
      <c r="I15" s="124">
        <v>45519</v>
      </c>
      <c r="J15" s="124">
        <v>45522</v>
      </c>
      <c r="K15" s="135">
        <f t="shared" si="3"/>
        <v>947.49</v>
      </c>
      <c r="L15" s="135">
        <f t="shared" si="4"/>
        <v>947.49</v>
      </c>
      <c r="M15" s="131">
        <v>1894.98</v>
      </c>
      <c r="N15" s="106">
        <v>0</v>
      </c>
      <c r="O15" s="135">
        <v>120</v>
      </c>
      <c r="P15" s="84">
        <v>0</v>
      </c>
      <c r="Q15" s="158">
        <v>0</v>
      </c>
      <c r="R15" s="154">
        <f t="shared" si="0"/>
        <v>0</v>
      </c>
      <c r="S15" s="154">
        <f t="shared" si="1"/>
        <v>1894.98</v>
      </c>
      <c r="T15" s="154">
        <f t="shared" si="2"/>
        <v>1894.98</v>
      </c>
      <c r="U15" s="106" t="s">
        <v>880</v>
      </c>
    </row>
    <row r="16" spans="1:21" ht="30">
      <c r="A16" s="322" t="s">
        <v>231</v>
      </c>
      <c r="B16" s="322" t="s">
        <v>231</v>
      </c>
      <c r="C16" s="106" t="s">
        <v>863</v>
      </c>
      <c r="D16" s="84">
        <v>0</v>
      </c>
      <c r="E16" s="111" t="s">
        <v>87</v>
      </c>
      <c r="F16" s="106" t="s">
        <v>880</v>
      </c>
      <c r="G16" s="322" t="s">
        <v>36</v>
      </c>
      <c r="H16" s="106" t="s">
        <v>875</v>
      </c>
      <c r="I16" s="124" t="s">
        <v>881</v>
      </c>
      <c r="J16" s="124">
        <v>45521</v>
      </c>
      <c r="K16" s="135">
        <f>M16/2</f>
        <v>475.5</v>
      </c>
      <c r="L16" s="135">
        <f>M16/2</f>
        <v>475.5</v>
      </c>
      <c r="M16" s="131">
        <f>551+400</f>
        <v>951</v>
      </c>
      <c r="N16" s="106">
        <v>0</v>
      </c>
      <c r="O16" s="135">
        <v>120</v>
      </c>
      <c r="P16" s="84">
        <v>0</v>
      </c>
      <c r="Q16" s="158">
        <v>0</v>
      </c>
      <c r="R16" s="154">
        <f t="shared" si="0"/>
        <v>0</v>
      </c>
      <c r="S16" s="154">
        <f>R16+M16</f>
        <v>951</v>
      </c>
      <c r="T16" s="154">
        <f t="shared" ref="T16" si="5">S16</f>
        <v>951</v>
      </c>
      <c r="U16" s="106" t="s">
        <v>880</v>
      </c>
    </row>
    <row r="17" spans="1:21">
      <c r="A17" s="322" t="s">
        <v>253</v>
      </c>
      <c r="B17" s="322" t="s">
        <v>253</v>
      </c>
      <c r="C17" s="123" t="s">
        <v>387</v>
      </c>
      <c r="D17" s="84">
        <v>0</v>
      </c>
      <c r="E17" s="111" t="s">
        <v>868</v>
      </c>
      <c r="F17" s="106" t="s">
        <v>882</v>
      </c>
      <c r="G17" s="322" t="s">
        <v>36</v>
      </c>
      <c r="H17" s="106" t="s">
        <v>883</v>
      </c>
      <c r="I17" s="124">
        <v>45525</v>
      </c>
      <c r="J17" s="124">
        <v>45527</v>
      </c>
      <c r="K17" s="135">
        <f t="shared" si="3"/>
        <v>1512.37</v>
      </c>
      <c r="L17" s="135">
        <f t="shared" si="4"/>
        <v>1512.37</v>
      </c>
      <c r="M17" s="131">
        <v>3024.74</v>
      </c>
      <c r="N17" s="106">
        <v>0</v>
      </c>
      <c r="O17" s="135">
        <v>120</v>
      </c>
      <c r="P17" s="84">
        <v>0</v>
      </c>
      <c r="Q17" s="158">
        <v>0</v>
      </c>
      <c r="R17" s="154">
        <f t="shared" si="0"/>
        <v>0</v>
      </c>
      <c r="S17" s="154">
        <f t="shared" si="1"/>
        <v>3024.74</v>
      </c>
      <c r="T17" s="154">
        <f t="shared" si="2"/>
        <v>3024.74</v>
      </c>
      <c r="U17" s="106" t="s">
        <v>882</v>
      </c>
    </row>
    <row r="18" spans="1:21" ht="15" hidden="1" customHeight="1">
      <c r="A18" s="322" t="s">
        <v>253</v>
      </c>
      <c r="B18" s="322" t="s">
        <v>253</v>
      </c>
      <c r="C18" s="106" t="s">
        <v>675</v>
      </c>
      <c r="D18" s="84">
        <v>383</v>
      </c>
      <c r="E18" s="111" t="s">
        <v>884</v>
      </c>
      <c r="F18" s="106" t="s">
        <v>882</v>
      </c>
      <c r="G18" s="322" t="s">
        <v>36</v>
      </c>
      <c r="H18" s="106" t="s">
        <v>883</v>
      </c>
      <c r="I18" s="124">
        <v>45525</v>
      </c>
      <c r="J18" s="124">
        <v>45527</v>
      </c>
      <c r="K18" s="135">
        <f t="shared" si="3"/>
        <v>1512.37</v>
      </c>
      <c r="L18" s="135">
        <f t="shared" si="4"/>
        <v>1512.37</v>
      </c>
      <c r="M18" s="131">
        <v>3024.74</v>
      </c>
      <c r="N18" s="109">
        <v>3</v>
      </c>
      <c r="O18" s="135">
        <v>120</v>
      </c>
      <c r="P18" s="84">
        <v>0</v>
      </c>
      <c r="Q18" s="158">
        <v>0</v>
      </c>
      <c r="R18" s="154">
        <f t="shared" si="0"/>
        <v>360</v>
      </c>
      <c r="S18" s="154">
        <f t="shared" si="1"/>
        <v>3384.74</v>
      </c>
      <c r="T18" s="154">
        <f t="shared" si="2"/>
        <v>3384.74</v>
      </c>
      <c r="U18" s="106" t="s">
        <v>882</v>
      </c>
    </row>
    <row r="19" spans="1:21" ht="60" hidden="1" customHeight="1">
      <c r="A19" s="322" t="s">
        <v>272</v>
      </c>
      <c r="B19" s="322" t="s">
        <v>871</v>
      </c>
      <c r="C19" s="109" t="s">
        <v>448</v>
      </c>
      <c r="D19" s="99">
        <v>336</v>
      </c>
      <c r="E19" s="145" t="s">
        <v>294</v>
      </c>
      <c r="F19" s="109" t="s">
        <v>882</v>
      </c>
      <c r="G19" s="322" t="s">
        <v>36</v>
      </c>
      <c r="H19" s="123" t="s">
        <v>883</v>
      </c>
      <c r="I19" s="124">
        <v>45525</v>
      </c>
      <c r="J19" s="124">
        <v>45527</v>
      </c>
      <c r="K19" s="135">
        <f t="shared" si="3"/>
        <v>1293.59985024</v>
      </c>
      <c r="L19" s="135">
        <f t="shared" si="4"/>
        <v>1293.59985024</v>
      </c>
      <c r="M19" s="131">
        <v>2587.19970048</v>
      </c>
      <c r="N19" s="109">
        <v>3</v>
      </c>
      <c r="O19" s="178">
        <v>120</v>
      </c>
      <c r="P19" s="84">
        <v>0</v>
      </c>
      <c r="Q19" s="158">
        <v>0</v>
      </c>
      <c r="R19" s="154">
        <f t="shared" si="0"/>
        <v>360</v>
      </c>
      <c r="S19" s="154">
        <f t="shared" si="1"/>
        <v>2947.19970048</v>
      </c>
      <c r="T19" s="154">
        <f t="shared" si="2"/>
        <v>2947.19970048</v>
      </c>
      <c r="U19" s="109" t="s">
        <v>882</v>
      </c>
    </row>
    <row r="20" spans="1:21" ht="45" hidden="1" customHeight="1">
      <c r="A20" s="322" t="s">
        <v>253</v>
      </c>
      <c r="B20" s="322" t="s">
        <v>253</v>
      </c>
      <c r="C20" s="106" t="s">
        <v>92</v>
      </c>
      <c r="D20" s="84"/>
      <c r="E20" s="111" t="s">
        <v>535</v>
      </c>
      <c r="F20" s="111" t="s">
        <v>885</v>
      </c>
      <c r="G20" s="322" t="s">
        <v>36</v>
      </c>
      <c r="H20" s="106" t="s">
        <v>886</v>
      </c>
      <c r="I20" s="124">
        <v>45525</v>
      </c>
      <c r="J20" s="124">
        <v>45527</v>
      </c>
      <c r="K20" s="135">
        <f t="shared" si="3"/>
        <v>698.99</v>
      </c>
      <c r="L20" s="135">
        <f t="shared" si="4"/>
        <v>698.99</v>
      </c>
      <c r="M20" s="131">
        <v>1397.98</v>
      </c>
      <c r="N20" s="106">
        <f t="shared" ref="N20:N21" si="6">(J20-I20)+1</f>
        <v>3</v>
      </c>
      <c r="O20" s="135">
        <v>120</v>
      </c>
      <c r="P20" s="84">
        <v>0</v>
      </c>
      <c r="Q20" s="158">
        <v>0</v>
      </c>
      <c r="R20" s="154">
        <f t="shared" si="0"/>
        <v>360</v>
      </c>
      <c r="S20" s="154">
        <f t="shared" si="1"/>
        <v>1757.98</v>
      </c>
      <c r="T20" s="154">
        <f t="shared" si="2"/>
        <v>1757.98</v>
      </c>
      <c r="U20" s="111" t="s">
        <v>885</v>
      </c>
    </row>
    <row r="21" spans="1:21" ht="60" hidden="1" customHeight="1">
      <c r="A21" s="322" t="s">
        <v>253</v>
      </c>
      <c r="B21" s="322" t="s">
        <v>887</v>
      </c>
      <c r="C21" s="106" t="s">
        <v>327</v>
      </c>
      <c r="D21" s="84">
        <v>87</v>
      </c>
      <c r="E21" s="111" t="s">
        <v>888</v>
      </c>
      <c r="F21" s="106" t="s">
        <v>882</v>
      </c>
      <c r="G21" s="322" t="s">
        <v>36</v>
      </c>
      <c r="H21" s="106" t="s">
        <v>883</v>
      </c>
      <c r="I21" s="124">
        <v>45525</v>
      </c>
      <c r="J21" s="124">
        <v>45527</v>
      </c>
      <c r="K21" s="135">
        <f t="shared" si="3"/>
        <v>1512.37</v>
      </c>
      <c r="L21" s="135">
        <f t="shared" si="4"/>
        <v>1512.37</v>
      </c>
      <c r="M21" s="131">
        <v>3024.74</v>
      </c>
      <c r="N21" s="106">
        <f t="shared" si="6"/>
        <v>3</v>
      </c>
      <c r="O21" s="135">
        <v>120</v>
      </c>
      <c r="P21" s="84">
        <v>0</v>
      </c>
      <c r="Q21" s="158">
        <v>0</v>
      </c>
      <c r="R21" s="154">
        <f t="shared" si="0"/>
        <v>360</v>
      </c>
      <c r="S21" s="154">
        <f t="shared" si="1"/>
        <v>3384.74</v>
      </c>
      <c r="T21" s="154">
        <f t="shared" si="2"/>
        <v>3384.74</v>
      </c>
      <c r="U21" s="106" t="s">
        <v>882</v>
      </c>
    </row>
    <row r="22" spans="1:21" ht="30">
      <c r="A22" s="327" t="s">
        <v>231</v>
      </c>
      <c r="B22" s="327" t="s">
        <v>231</v>
      </c>
      <c r="C22" s="266" t="s">
        <v>863</v>
      </c>
      <c r="D22" s="250">
        <v>0</v>
      </c>
      <c r="E22" s="288" t="s">
        <v>87</v>
      </c>
      <c r="F22" s="111" t="s">
        <v>889</v>
      </c>
      <c r="G22" s="322" t="s">
        <v>36</v>
      </c>
      <c r="H22" s="123" t="s">
        <v>890</v>
      </c>
      <c r="I22" s="179">
        <v>45523</v>
      </c>
      <c r="J22" s="179"/>
      <c r="K22" s="180">
        <f>M22</f>
        <v>764.6</v>
      </c>
      <c r="L22" s="180" t="s">
        <v>77</v>
      </c>
      <c r="M22" s="181">
        <f>708.38+56.22</f>
        <v>764.6</v>
      </c>
      <c r="N22" s="109">
        <v>0</v>
      </c>
      <c r="O22" s="135"/>
      <c r="P22" s="84">
        <v>0</v>
      </c>
      <c r="Q22" s="158">
        <v>0</v>
      </c>
      <c r="R22" s="154">
        <f t="shared" si="0"/>
        <v>0</v>
      </c>
      <c r="S22" s="154"/>
      <c r="T22" s="154"/>
      <c r="U22" s="111" t="s">
        <v>889</v>
      </c>
    </row>
    <row r="23" spans="1:21">
      <c r="A23" s="330"/>
      <c r="B23" s="330"/>
      <c r="C23" s="267"/>
      <c r="D23" s="265"/>
      <c r="E23" s="337"/>
      <c r="F23" s="266" t="s">
        <v>891</v>
      </c>
      <c r="G23" s="322" t="s">
        <v>36</v>
      </c>
      <c r="H23" s="123" t="s">
        <v>892</v>
      </c>
      <c r="I23" s="179">
        <v>45525</v>
      </c>
      <c r="J23" s="123"/>
      <c r="K23" s="180">
        <f>M23</f>
        <v>616.29</v>
      </c>
      <c r="L23" s="180" t="s">
        <v>77</v>
      </c>
      <c r="M23" s="182">
        <f>571.3+44.99</f>
        <v>616.29</v>
      </c>
      <c r="N23" s="106">
        <v>0</v>
      </c>
      <c r="O23" s="135">
        <v>120</v>
      </c>
      <c r="P23" s="84">
        <v>0</v>
      </c>
      <c r="Q23" s="158">
        <v>0</v>
      </c>
      <c r="R23" s="154">
        <f t="shared" si="0"/>
        <v>0</v>
      </c>
      <c r="S23" s="154">
        <f t="shared" si="1"/>
        <v>616.29</v>
      </c>
      <c r="T23" s="154">
        <f t="shared" si="2"/>
        <v>616.29</v>
      </c>
      <c r="U23" s="266" t="s">
        <v>891</v>
      </c>
    </row>
    <row r="24" spans="1:21">
      <c r="A24" s="330"/>
      <c r="B24" s="330"/>
      <c r="C24" s="267"/>
      <c r="D24" s="265"/>
      <c r="E24" s="337"/>
      <c r="F24" s="267"/>
      <c r="G24" s="324" t="s">
        <v>36</v>
      </c>
      <c r="H24" s="183" t="s">
        <v>869</v>
      </c>
      <c r="I24" s="184"/>
      <c r="J24" s="184">
        <v>45526</v>
      </c>
      <c r="K24" s="185"/>
      <c r="L24" s="185">
        <f>M24</f>
        <v>709.91</v>
      </c>
      <c r="M24" s="186">
        <v>709.91</v>
      </c>
      <c r="N24" s="106">
        <v>0</v>
      </c>
      <c r="O24" s="178">
        <v>120</v>
      </c>
      <c r="P24" s="84">
        <v>0</v>
      </c>
      <c r="Q24" s="158">
        <v>0</v>
      </c>
      <c r="R24" s="154">
        <f t="shared" si="0"/>
        <v>0</v>
      </c>
      <c r="S24" s="187">
        <f t="shared" si="1"/>
        <v>709.91</v>
      </c>
      <c r="T24" s="187">
        <f t="shared" si="2"/>
        <v>709.91</v>
      </c>
      <c r="U24" s="267"/>
    </row>
    <row r="25" spans="1:21">
      <c r="A25" s="328"/>
      <c r="B25" s="328"/>
      <c r="C25" s="268"/>
      <c r="D25" s="251"/>
      <c r="E25" s="334"/>
      <c r="F25" s="268"/>
      <c r="G25" s="324" t="s">
        <v>36</v>
      </c>
      <c r="H25" s="183" t="s">
        <v>869</v>
      </c>
      <c r="I25" s="184"/>
      <c r="J25" s="184">
        <v>45526</v>
      </c>
      <c r="K25" s="185"/>
      <c r="L25" s="185">
        <v>1170.17</v>
      </c>
      <c r="M25" s="186">
        <f>L25</f>
        <v>1170.17</v>
      </c>
      <c r="N25" s="106">
        <v>0</v>
      </c>
      <c r="O25" s="178">
        <v>120</v>
      </c>
      <c r="P25" s="84"/>
      <c r="Q25" s="158">
        <v>0</v>
      </c>
      <c r="R25" s="154">
        <f t="shared" si="0"/>
        <v>0</v>
      </c>
      <c r="S25" s="187">
        <f t="shared" si="1"/>
        <v>1170.17</v>
      </c>
      <c r="T25" s="187">
        <f t="shared" si="2"/>
        <v>1170.17</v>
      </c>
      <c r="U25" s="268"/>
    </row>
    <row r="26" spans="1:21" s="104" customFormat="1" ht="30" hidden="1" customHeight="1">
      <c r="A26" s="322" t="s">
        <v>231</v>
      </c>
      <c r="B26" s="322" t="s">
        <v>893</v>
      </c>
      <c r="C26" s="106" t="s">
        <v>894</v>
      </c>
      <c r="D26" s="84">
        <v>390</v>
      </c>
      <c r="E26" s="323" t="s">
        <v>895</v>
      </c>
      <c r="F26" s="111" t="s">
        <v>889</v>
      </c>
      <c r="G26" s="322" t="s">
        <v>36</v>
      </c>
      <c r="H26" s="106" t="s">
        <v>896</v>
      </c>
      <c r="I26" s="124">
        <v>45523</v>
      </c>
      <c r="J26" s="124">
        <v>45525</v>
      </c>
      <c r="K26" s="135">
        <f>708.38+56.22</f>
        <v>764.6</v>
      </c>
      <c r="L26" s="135">
        <f>1086.88+44.99</f>
        <v>1131.8700000000001</v>
      </c>
      <c r="M26" s="135">
        <f>K26+L26</f>
        <v>1896.4700000000003</v>
      </c>
      <c r="N26" s="106">
        <f>(J26-I26)+1</f>
        <v>3</v>
      </c>
      <c r="O26" s="135">
        <v>120</v>
      </c>
      <c r="P26" s="84">
        <v>0</v>
      </c>
      <c r="Q26" s="158">
        <v>0</v>
      </c>
      <c r="R26" s="154">
        <f t="shared" si="0"/>
        <v>360</v>
      </c>
      <c r="S26" s="187">
        <f t="shared" si="1"/>
        <v>2256.4700000000003</v>
      </c>
      <c r="T26" s="187">
        <f t="shared" si="2"/>
        <v>2256.4700000000003</v>
      </c>
      <c r="U26" s="111" t="s">
        <v>889</v>
      </c>
    </row>
    <row r="27" spans="1:21" s="104" customFormat="1" ht="30" customHeight="1">
      <c r="A27" s="322" t="s">
        <v>231</v>
      </c>
      <c r="B27" s="322" t="s">
        <v>231</v>
      </c>
      <c r="C27" s="106" t="s">
        <v>863</v>
      </c>
      <c r="D27" s="84">
        <v>0</v>
      </c>
      <c r="E27" s="323" t="s">
        <v>87</v>
      </c>
      <c r="F27" s="123" t="s">
        <v>897</v>
      </c>
      <c r="G27" s="322" t="s">
        <v>36</v>
      </c>
      <c r="H27" s="106" t="s">
        <v>862</v>
      </c>
      <c r="I27" s="124">
        <v>45531</v>
      </c>
      <c r="J27" s="124">
        <v>45533</v>
      </c>
      <c r="K27" s="131">
        <f>M27/2</f>
        <v>557.99</v>
      </c>
      <c r="L27" s="131">
        <f>M27/2</f>
        <v>557.99</v>
      </c>
      <c r="M27" s="131">
        <v>1115.98</v>
      </c>
      <c r="N27" s="106">
        <v>0</v>
      </c>
      <c r="O27" s="131">
        <v>120</v>
      </c>
      <c r="P27" s="106">
        <v>0</v>
      </c>
      <c r="Q27" s="158">
        <v>0</v>
      </c>
      <c r="R27" s="154">
        <f t="shared" si="0"/>
        <v>0</v>
      </c>
      <c r="S27" s="187">
        <f t="shared" si="1"/>
        <v>1115.98</v>
      </c>
      <c r="T27" s="187">
        <f t="shared" si="2"/>
        <v>1115.98</v>
      </c>
      <c r="U27" s="123" t="s">
        <v>897</v>
      </c>
    </row>
    <row r="28" spans="1:21" ht="30">
      <c r="A28" s="322" t="s">
        <v>231</v>
      </c>
      <c r="B28" s="322" t="s">
        <v>231</v>
      </c>
      <c r="C28" s="106" t="s">
        <v>863</v>
      </c>
      <c r="D28" s="84">
        <v>0</v>
      </c>
      <c r="E28" s="323" t="s">
        <v>87</v>
      </c>
      <c r="F28" s="123" t="s">
        <v>897</v>
      </c>
      <c r="G28" s="322" t="s">
        <v>36</v>
      </c>
      <c r="H28" s="106" t="s">
        <v>862</v>
      </c>
      <c r="I28" s="124">
        <v>45531</v>
      </c>
      <c r="J28" s="124">
        <v>45533</v>
      </c>
      <c r="K28" s="135">
        <f t="shared" ref="K28" si="7">M28/2</f>
        <v>374.95499999999998</v>
      </c>
      <c r="L28" s="135">
        <f>M28/2</f>
        <v>374.95499999999998</v>
      </c>
      <c r="M28" s="131">
        <v>749.91</v>
      </c>
      <c r="N28" s="106">
        <v>0</v>
      </c>
      <c r="O28" s="135">
        <v>120</v>
      </c>
      <c r="P28" s="84">
        <v>0</v>
      </c>
      <c r="Q28" s="158">
        <v>0</v>
      </c>
      <c r="R28" s="154">
        <f t="shared" si="0"/>
        <v>0</v>
      </c>
      <c r="S28" s="187">
        <f t="shared" si="1"/>
        <v>749.91</v>
      </c>
      <c r="T28" s="154">
        <f>S28</f>
        <v>749.91</v>
      </c>
      <c r="U28" s="123" t="s">
        <v>897</v>
      </c>
    </row>
    <row r="29" spans="1:21" s="104" customFormat="1" ht="30" hidden="1" customHeight="1">
      <c r="A29" s="322" t="s">
        <v>253</v>
      </c>
      <c r="B29" s="322" t="s">
        <v>253</v>
      </c>
      <c r="C29" s="106" t="s">
        <v>898</v>
      </c>
      <c r="D29" s="84">
        <v>383</v>
      </c>
      <c r="E29" s="323" t="s">
        <v>884</v>
      </c>
      <c r="F29" s="111" t="s">
        <v>899</v>
      </c>
      <c r="G29" s="322" t="s">
        <v>36</v>
      </c>
      <c r="H29" s="106" t="s">
        <v>875</v>
      </c>
      <c r="I29" s="124">
        <v>45529</v>
      </c>
      <c r="J29" s="124">
        <v>45532</v>
      </c>
      <c r="K29" s="135">
        <f>1877.9+56.22</f>
        <v>1934.1200000000001</v>
      </c>
      <c r="L29" s="135">
        <f>786.8+32.1</f>
        <v>818.9</v>
      </c>
      <c r="M29" s="135">
        <f>K29+L29</f>
        <v>2753.02</v>
      </c>
      <c r="N29" s="106">
        <f>(J29-I29)+1</f>
        <v>4</v>
      </c>
      <c r="O29" s="135">
        <v>120</v>
      </c>
      <c r="P29" s="84">
        <v>0</v>
      </c>
      <c r="Q29" s="158">
        <v>0</v>
      </c>
      <c r="R29" s="154">
        <f t="shared" si="0"/>
        <v>480</v>
      </c>
      <c r="S29" s="187">
        <f t="shared" si="1"/>
        <v>3233.02</v>
      </c>
      <c r="T29" s="120"/>
      <c r="U29" s="111" t="s">
        <v>899</v>
      </c>
    </row>
    <row r="30" spans="1:21" ht="15" hidden="1" customHeight="1">
      <c r="A30" s="266" t="s">
        <v>272</v>
      </c>
      <c r="B30" s="266" t="s">
        <v>871</v>
      </c>
      <c r="C30" s="266" t="s">
        <v>140</v>
      </c>
      <c r="D30" s="250">
        <v>230</v>
      </c>
      <c r="E30" s="269" t="s">
        <v>411</v>
      </c>
      <c r="F30" s="266" t="s">
        <v>899</v>
      </c>
      <c r="G30" s="322" t="s">
        <v>36</v>
      </c>
      <c r="H30" s="106" t="s">
        <v>900</v>
      </c>
      <c r="I30" s="124">
        <v>45529</v>
      </c>
      <c r="J30" s="137">
        <v>45532</v>
      </c>
      <c r="K30" s="131">
        <f>455.71+54.2</f>
        <v>509.90999999999997</v>
      </c>
      <c r="L30" s="131">
        <f>597.57+32.1</f>
        <v>629.67000000000007</v>
      </c>
      <c r="M30" s="131">
        <f>K30+L30</f>
        <v>1139.58</v>
      </c>
      <c r="N30" s="106">
        <f>(J30-I30)+1</f>
        <v>4</v>
      </c>
      <c r="O30" s="135">
        <v>120</v>
      </c>
      <c r="P30" s="84">
        <v>0</v>
      </c>
      <c r="Q30" s="158">
        <v>0</v>
      </c>
      <c r="R30" s="154">
        <f t="shared" si="0"/>
        <v>480</v>
      </c>
      <c r="S30" s="187">
        <f t="shared" si="1"/>
        <v>1619.58</v>
      </c>
      <c r="T30" s="154">
        <f t="shared" ref="T30:T49" si="8">S30</f>
        <v>1619.58</v>
      </c>
      <c r="U30" s="266" t="s">
        <v>899</v>
      </c>
    </row>
    <row r="31" spans="1:21" ht="15" hidden="1" customHeight="1">
      <c r="A31" s="267"/>
      <c r="B31" s="267"/>
      <c r="C31" s="267"/>
      <c r="D31" s="265"/>
      <c r="E31" s="270"/>
      <c r="F31" s="267"/>
      <c r="G31" s="322" t="s">
        <v>36</v>
      </c>
      <c r="H31" s="106" t="s">
        <v>901</v>
      </c>
      <c r="I31" s="124">
        <v>45532</v>
      </c>
      <c r="J31" s="124">
        <v>45532</v>
      </c>
      <c r="K31" s="131">
        <f>571.16+400</f>
        <v>971.16</v>
      </c>
      <c r="L31" s="131">
        <v>0</v>
      </c>
      <c r="M31" s="131">
        <f t="shared" ref="M31:M38" si="9">K31+L31</f>
        <v>971.16</v>
      </c>
      <c r="N31" s="106" t="s">
        <v>77</v>
      </c>
      <c r="O31" s="135">
        <v>120</v>
      </c>
      <c r="P31" s="84">
        <v>0</v>
      </c>
      <c r="Q31" s="158">
        <v>0</v>
      </c>
      <c r="R31" s="154" t="e">
        <f t="shared" si="0"/>
        <v>#VALUE!</v>
      </c>
      <c r="S31" s="187" t="e">
        <f t="shared" si="1"/>
        <v>#VALUE!</v>
      </c>
      <c r="T31" s="154" t="s">
        <v>77</v>
      </c>
      <c r="U31" s="267"/>
    </row>
    <row r="32" spans="1:21" ht="15" hidden="1" customHeight="1">
      <c r="A32" s="268"/>
      <c r="B32" s="268"/>
      <c r="C32" s="268"/>
      <c r="D32" s="251"/>
      <c r="E32" s="271"/>
      <c r="F32" s="268"/>
      <c r="G32" s="322" t="s">
        <v>36</v>
      </c>
      <c r="H32" s="106" t="s">
        <v>870</v>
      </c>
      <c r="I32" s="124">
        <v>45532</v>
      </c>
      <c r="J32" s="124">
        <v>45532</v>
      </c>
      <c r="K32" s="131">
        <f>1338.83+32.1</f>
        <v>1370.9299999999998</v>
      </c>
      <c r="L32" s="131">
        <v>0</v>
      </c>
      <c r="M32" s="131">
        <f t="shared" si="9"/>
        <v>1370.9299999999998</v>
      </c>
      <c r="N32" s="106" t="s">
        <v>77</v>
      </c>
      <c r="O32" s="135">
        <v>120</v>
      </c>
      <c r="P32" s="84">
        <v>0</v>
      </c>
      <c r="Q32" s="158">
        <v>0</v>
      </c>
      <c r="R32" s="154" t="e">
        <f t="shared" si="0"/>
        <v>#VALUE!</v>
      </c>
      <c r="S32" s="187" t="e">
        <f t="shared" si="1"/>
        <v>#VALUE!</v>
      </c>
      <c r="T32" s="154" t="s">
        <v>77</v>
      </c>
      <c r="U32" s="268"/>
    </row>
    <row r="33" spans="1:21">
      <c r="A33" s="266" t="s">
        <v>272</v>
      </c>
      <c r="B33" s="266" t="s">
        <v>272</v>
      </c>
      <c r="C33" s="266" t="s">
        <v>819</v>
      </c>
      <c r="D33" s="250">
        <v>0</v>
      </c>
      <c r="E33" s="288" t="s">
        <v>864</v>
      </c>
      <c r="F33" s="266" t="s">
        <v>899</v>
      </c>
      <c r="G33" s="322" t="s">
        <v>36</v>
      </c>
      <c r="H33" s="106" t="s">
        <v>902</v>
      </c>
      <c r="I33" s="124">
        <v>45529</v>
      </c>
      <c r="J33" s="124" t="s">
        <v>77</v>
      </c>
      <c r="K33" s="131">
        <v>2054.48</v>
      </c>
      <c r="L33" s="131" t="s">
        <v>77</v>
      </c>
      <c r="M33" s="131">
        <f>K33</f>
        <v>2054.48</v>
      </c>
      <c r="N33" s="106">
        <v>0</v>
      </c>
      <c r="O33" s="135">
        <v>120</v>
      </c>
      <c r="P33" s="84">
        <v>0</v>
      </c>
      <c r="Q33" s="158">
        <v>0</v>
      </c>
      <c r="R33" s="154">
        <f t="shared" si="0"/>
        <v>0</v>
      </c>
      <c r="S33" s="187">
        <f t="shared" si="1"/>
        <v>2054.48</v>
      </c>
      <c r="T33" s="154">
        <f t="shared" si="8"/>
        <v>2054.48</v>
      </c>
      <c r="U33" s="266" t="s">
        <v>899</v>
      </c>
    </row>
    <row r="34" spans="1:21">
      <c r="A34" s="267"/>
      <c r="B34" s="267"/>
      <c r="C34" s="267"/>
      <c r="D34" s="265"/>
      <c r="E34" s="337"/>
      <c r="F34" s="267"/>
      <c r="G34" s="322" t="s">
        <v>36</v>
      </c>
      <c r="H34" s="106" t="s">
        <v>901</v>
      </c>
      <c r="I34" s="124" t="s">
        <v>77</v>
      </c>
      <c r="J34" s="124">
        <v>45532</v>
      </c>
      <c r="K34" s="131" t="s">
        <v>77</v>
      </c>
      <c r="L34" s="131">
        <f>M34</f>
        <v>570.53</v>
      </c>
      <c r="M34" s="131">
        <v>570.53</v>
      </c>
      <c r="N34" s="106">
        <v>0</v>
      </c>
      <c r="O34" s="135">
        <v>120</v>
      </c>
      <c r="P34" s="84">
        <v>0</v>
      </c>
      <c r="Q34" s="158">
        <v>0</v>
      </c>
      <c r="R34" s="154">
        <f t="shared" si="0"/>
        <v>0</v>
      </c>
      <c r="S34" s="187">
        <f t="shared" si="1"/>
        <v>570.53</v>
      </c>
      <c r="T34" s="154">
        <f t="shared" si="8"/>
        <v>570.53</v>
      </c>
      <c r="U34" s="267"/>
    </row>
    <row r="35" spans="1:21">
      <c r="A35" s="267"/>
      <c r="B35" s="267"/>
      <c r="C35" s="267"/>
      <c r="D35" s="265"/>
      <c r="E35" s="337"/>
      <c r="F35" s="267"/>
      <c r="G35" s="327" t="s">
        <v>36</v>
      </c>
      <c r="H35" s="106" t="s">
        <v>870</v>
      </c>
      <c r="I35" s="124" t="s">
        <v>77</v>
      </c>
      <c r="J35" s="124">
        <v>45532</v>
      </c>
      <c r="K35" s="131" t="s">
        <v>77</v>
      </c>
      <c r="L35" s="131">
        <f>M35</f>
        <v>1238.44</v>
      </c>
      <c r="M35" s="131">
        <v>1238.44</v>
      </c>
      <c r="N35" s="106">
        <v>0</v>
      </c>
      <c r="O35" s="135">
        <v>120</v>
      </c>
      <c r="P35" s="84">
        <v>0</v>
      </c>
      <c r="Q35" s="158">
        <v>0</v>
      </c>
      <c r="R35" s="154">
        <f t="shared" si="0"/>
        <v>0</v>
      </c>
      <c r="S35" s="187">
        <f t="shared" si="1"/>
        <v>1238.44</v>
      </c>
      <c r="T35" s="154">
        <f t="shared" si="8"/>
        <v>1238.44</v>
      </c>
      <c r="U35" s="267"/>
    </row>
    <row r="36" spans="1:21">
      <c r="A36" s="268"/>
      <c r="B36" s="268"/>
      <c r="C36" s="268"/>
      <c r="D36" s="251"/>
      <c r="E36" s="334"/>
      <c r="F36" s="268"/>
      <c r="G36" s="328"/>
      <c r="H36" s="106" t="s">
        <v>870</v>
      </c>
      <c r="I36" s="124" t="s">
        <v>77</v>
      </c>
      <c r="J36" s="124">
        <v>45532</v>
      </c>
      <c r="K36" s="131" t="s">
        <v>77</v>
      </c>
      <c r="L36" s="131">
        <f>M36</f>
        <v>914.64</v>
      </c>
      <c r="M36" s="131">
        <v>914.64</v>
      </c>
      <c r="N36" s="106">
        <v>0</v>
      </c>
      <c r="O36" s="135">
        <v>120</v>
      </c>
      <c r="P36" s="84">
        <v>0</v>
      </c>
      <c r="Q36" s="158">
        <v>0</v>
      </c>
      <c r="R36" s="154">
        <f t="shared" si="0"/>
        <v>0</v>
      </c>
      <c r="S36" s="187">
        <f t="shared" si="1"/>
        <v>914.64</v>
      </c>
      <c r="T36" s="154">
        <f t="shared" si="8"/>
        <v>914.64</v>
      </c>
      <c r="U36" s="268"/>
    </row>
    <row r="37" spans="1:21">
      <c r="A37" s="327" t="s">
        <v>253</v>
      </c>
      <c r="B37" s="327" t="s">
        <v>253</v>
      </c>
      <c r="C37" s="266" t="s">
        <v>387</v>
      </c>
      <c r="D37" s="250">
        <v>0</v>
      </c>
      <c r="E37" s="333" t="s">
        <v>868</v>
      </c>
      <c r="F37" s="296" t="s">
        <v>899</v>
      </c>
      <c r="G37" s="322" t="s">
        <v>36</v>
      </c>
      <c r="H37" s="106" t="s">
        <v>875</v>
      </c>
      <c r="I37" s="124">
        <v>45529</v>
      </c>
      <c r="J37" s="137">
        <v>45532</v>
      </c>
      <c r="K37" s="131">
        <f>1877.9+56.22</f>
        <v>1934.1200000000001</v>
      </c>
      <c r="L37" s="131">
        <f>786.8+32.1</f>
        <v>818.9</v>
      </c>
      <c r="M37" s="131">
        <f t="shared" si="9"/>
        <v>2753.02</v>
      </c>
      <c r="N37" s="106">
        <v>0</v>
      </c>
      <c r="O37" s="135">
        <v>120</v>
      </c>
      <c r="P37" s="84">
        <v>0</v>
      </c>
      <c r="Q37" s="158">
        <v>0</v>
      </c>
      <c r="R37" s="154">
        <f t="shared" si="0"/>
        <v>0</v>
      </c>
      <c r="S37" s="187">
        <f t="shared" si="1"/>
        <v>2753.02</v>
      </c>
      <c r="T37" s="154">
        <f t="shared" si="8"/>
        <v>2753.02</v>
      </c>
      <c r="U37" s="296" t="s">
        <v>899</v>
      </c>
    </row>
    <row r="38" spans="1:21">
      <c r="A38" s="328"/>
      <c r="B38" s="328"/>
      <c r="C38" s="268"/>
      <c r="D38" s="251"/>
      <c r="E38" s="333"/>
      <c r="F38" s="296"/>
      <c r="G38" s="322" t="s">
        <v>36</v>
      </c>
      <c r="H38" s="106" t="s">
        <v>903</v>
      </c>
      <c r="I38" s="124">
        <v>45532</v>
      </c>
      <c r="J38" s="124">
        <v>45532</v>
      </c>
      <c r="K38" s="131">
        <f>571.16+400</f>
        <v>971.16</v>
      </c>
      <c r="L38" s="131">
        <v>0</v>
      </c>
      <c r="M38" s="131">
        <f t="shared" si="9"/>
        <v>971.16</v>
      </c>
      <c r="N38" s="106">
        <v>0</v>
      </c>
      <c r="O38" s="135">
        <v>120</v>
      </c>
      <c r="P38" s="84">
        <v>0</v>
      </c>
      <c r="Q38" s="158">
        <v>0</v>
      </c>
      <c r="R38" s="154">
        <f t="shared" si="0"/>
        <v>0</v>
      </c>
      <c r="S38" s="187">
        <f t="shared" si="1"/>
        <v>971.16</v>
      </c>
      <c r="T38" s="154">
        <f t="shared" si="8"/>
        <v>971.16</v>
      </c>
      <c r="U38" s="296"/>
    </row>
    <row r="39" spans="1:21" ht="60">
      <c r="A39" s="322" t="s">
        <v>253</v>
      </c>
      <c r="B39" s="322" t="s">
        <v>859</v>
      </c>
      <c r="C39" s="322" t="s">
        <v>802</v>
      </c>
      <c r="D39" s="144">
        <v>404</v>
      </c>
      <c r="E39" s="111" t="s">
        <v>860</v>
      </c>
      <c r="F39" s="121" t="s">
        <v>861</v>
      </c>
      <c r="G39" s="322" t="s">
        <v>36</v>
      </c>
      <c r="H39" s="322" t="s">
        <v>862</v>
      </c>
      <c r="I39" s="124">
        <v>45510</v>
      </c>
      <c r="J39" s="124">
        <v>45511</v>
      </c>
      <c r="K39" s="125">
        <f>M39/2</f>
        <v>1250.6099999999999</v>
      </c>
      <c r="L39" s="125">
        <f>M39/2</f>
        <v>1250.6099999999999</v>
      </c>
      <c r="M39" s="125">
        <v>2501.2199999999998</v>
      </c>
      <c r="N39" s="106">
        <f>(J39-I39)+1</f>
        <v>2</v>
      </c>
      <c r="O39" s="126">
        <v>120</v>
      </c>
      <c r="P39" s="84">
        <v>0</v>
      </c>
      <c r="Q39" s="95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21" t="s">
        <v>861</v>
      </c>
    </row>
    <row r="40" spans="1:21" ht="45">
      <c r="A40" s="322" t="s">
        <v>231</v>
      </c>
      <c r="B40" s="322" t="s">
        <v>231</v>
      </c>
      <c r="C40" s="123" t="s">
        <v>768</v>
      </c>
      <c r="D40" s="147">
        <v>392</v>
      </c>
      <c r="E40" s="111" t="s">
        <v>798</v>
      </c>
      <c r="F40" s="121" t="s">
        <v>861</v>
      </c>
      <c r="G40" s="322" t="s">
        <v>36</v>
      </c>
      <c r="H40" s="322" t="s">
        <v>862</v>
      </c>
      <c r="I40" s="124">
        <v>45510</v>
      </c>
      <c r="J40" s="124">
        <v>45511</v>
      </c>
      <c r="K40" s="125">
        <f t="shared" ref="K40" si="10">M40/2</f>
        <v>1341.84</v>
      </c>
      <c r="L40" s="125">
        <f t="shared" ref="L40" si="11">M40/2</f>
        <v>1341.84</v>
      </c>
      <c r="M40" s="125">
        <v>2683.68</v>
      </c>
      <c r="N40" s="106">
        <f>(J40-I40)+1</f>
        <v>2</v>
      </c>
      <c r="O40" s="126">
        <v>120</v>
      </c>
      <c r="P40" s="84">
        <v>0</v>
      </c>
      <c r="Q40" s="95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21" t="s">
        <v>861</v>
      </c>
    </row>
    <row r="41" spans="1:21" ht="30">
      <c r="A41" s="322" t="s">
        <v>272</v>
      </c>
      <c r="B41" s="322" t="s">
        <v>871</v>
      </c>
      <c r="C41" s="170" t="s">
        <v>872</v>
      </c>
      <c r="D41" s="167">
        <v>251</v>
      </c>
      <c r="E41" s="323" t="s">
        <v>873</v>
      </c>
      <c r="F41" s="111" t="s">
        <v>904</v>
      </c>
      <c r="G41" s="335" t="s">
        <v>36</v>
      </c>
      <c r="H41" s="110" t="s">
        <v>875</v>
      </c>
      <c r="I41" s="163">
        <v>45512</v>
      </c>
      <c r="J41" s="124">
        <v>45513</v>
      </c>
      <c r="K41" s="135">
        <f>1128.44+56.22</f>
        <v>1184.6600000000001</v>
      </c>
      <c r="L41" s="135">
        <f>515.43+32.1</f>
        <v>547.53</v>
      </c>
      <c r="M41" s="135">
        <f>K41+L41</f>
        <v>1732.19</v>
      </c>
      <c r="N41" s="106">
        <f>(J41-I41)+1</f>
        <v>2</v>
      </c>
      <c r="O41" s="157">
        <v>120</v>
      </c>
      <c r="P41" s="101">
        <v>0</v>
      </c>
      <c r="Q41" s="168">
        <v>0</v>
      </c>
      <c r="R41" s="169">
        <f t="shared" si="0"/>
        <v>240</v>
      </c>
      <c r="S41" s="169">
        <f t="shared" si="1"/>
        <v>1972.19</v>
      </c>
      <c r="T41" s="169">
        <f t="shared" si="8"/>
        <v>1972.19</v>
      </c>
      <c r="U41" s="111" t="s">
        <v>904</v>
      </c>
    </row>
    <row r="42" spans="1:21" ht="30">
      <c r="A42" s="322" t="s">
        <v>272</v>
      </c>
      <c r="B42" s="322" t="s">
        <v>871</v>
      </c>
      <c r="C42" s="322" t="s">
        <v>876</v>
      </c>
      <c r="D42" s="167">
        <v>280</v>
      </c>
      <c r="E42" s="323" t="s">
        <v>663</v>
      </c>
      <c r="F42" s="111" t="s">
        <v>904</v>
      </c>
      <c r="G42" s="335" t="s">
        <v>36</v>
      </c>
      <c r="H42" s="110" t="s">
        <v>875</v>
      </c>
      <c r="I42" s="163">
        <v>45512</v>
      </c>
      <c r="J42" s="124">
        <v>45514</v>
      </c>
      <c r="K42" s="135">
        <f>M42/2</f>
        <v>639.48500000000001</v>
      </c>
      <c r="L42" s="135">
        <f>N42/2</f>
        <v>1</v>
      </c>
      <c r="M42" s="135">
        <f>1190.65+88.32</f>
        <v>1278.97</v>
      </c>
      <c r="N42" s="106">
        <v>2</v>
      </c>
      <c r="O42" s="157">
        <v>120</v>
      </c>
      <c r="P42" s="101">
        <v>0</v>
      </c>
      <c r="Q42" s="168">
        <v>0</v>
      </c>
      <c r="R42" s="169">
        <f t="shared" si="0"/>
        <v>240</v>
      </c>
      <c r="S42" s="169">
        <f t="shared" si="1"/>
        <v>1518.97</v>
      </c>
      <c r="T42" s="169">
        <f t="shared" si="8"/>
        <v>1518.97</v>
      </c>
      <c r="U42" s="111" t="s">
        <v>904</v>
      </c>
    </row>
    <row r="43" spans="1:21" ht="45">
      <c r="A43" s="335" t="s">
        <v>253</v>
      </c>
      <c r="B43" s="335" t="s">
        <v>877</v>
      </c>
      <c r="C43" s="335" t="s">
        <v>878</v>
      </c>
      <c r="D43" s="100">
        <v>345</v>
      </c>
      <c r="E43" s="336" t="s">
        <v>879</v>
      </c>
      <c r="F43" s="111" t="s">
        <v>904</v>
      </c>
      <c r="G43" s="335" t="s">
        <v>36</v>
      </c>
      <c r="H43" s="110" t="s">
        <v>875</v>
      </c>
      <c r="I43" s="163">
        <v>45512</v>
      </c>
      <c r="J43" s="163">
        <v>45515</v>
      </c>
      <c r="K43" s="164">
        <f t="shared" ref="K43:K47" si="12">M43/2</f>
        <v>921.56</v>
      </c>
      <c r="L43" s="164">
        <f t="shared" ref="L43:L47" si="13">M43/2</f>
        <v>921.56</v>
      </c>
      <c r="M43" s="165">
        <v>1843.12</v>
      </c>
      <c r="N43" s="162">
        <v>2</v>
      </c>
      <c r="O43" s="166">
        <v>120</v>
      </c>
      <c r="P43" s="101">
        <v>0</v>
      </c>
      <c r="Q43" s="168">
        <v>0</v>
      </c>
      <c r="R43" s="169">
        <f t="shared" si="0"/>
        <v>240</v>
      </c>
      <c r="S43" s="169">
        <f t="shared" si="1"/>
        <v>2083.12</v>
      </c>
      <c r="T43" s="169">
        <f t="shared" si="8"/>
        <v>2083.12</v>
      </c>
      <c r="U43" s="111" t="s">
        <v>904</v>
      </c>
    </row>
    <row r="44" spans="1:21">
      <c r="A44" s="322" t="s">
        <v>253</v>
      </c>
      <c r="B44" s="322" t="s">
        <v>253</v>
      </c>
      <c r="C44" s="106" t="s">
        <v>675</v>
      </c>
      <c r="D44" s="84">
        <v>383</v>
      </c>
      <c r="E44" s="111" t="s">
        <v>884</v>
      </c>
      <c r="F44" s="106" t="s">
        <v>882</v>
      </c>
      <c r="G44" s="322" t="s">
        <v>36</v>
      </c>
      <c r="H44" s="106" t="s">
        <v>883</v>
      </c>
      <c r="I44" s="124">
        <v>45525</v>
      </c>
      <c r="J44" s="124">
        <v>45527</v>
      </c>
      <c r="K44" s="125">
        <f t="shared" si="12"/>
        <v>1512.37</v>
      </c>
      <c r="L44" s="125">
        <f t="shared" si="13"/>
        <v>1512.37</v>
      </c>
      <c r="M44" s="131">
        <v>3024.74</v>
      </c>
      <c r="N44" s="109">
        <v>3</v>
      </c>
      <c r="O44" s="130">
        <v>120</v>
      </c>
      <c r="P44" s="84">
        <v>0</v>
      </c>
      <c r="Q44" s="107">
        <v>0</v>
      </c>
      <c r="R44" s="108">
        <f t="shared" si="0"/>
        <v>360</v>
      </c>
      <c r="S44" s="108">
        <f t="shared" si="1"/>
        <v>3384.74</v>
      </c>
      <c r="T44" s="108">
        <f t="shared" si="8"/>
        <v>3384.74</v>
      </c>
      <c r="U44" s="106" t="s">
        <v>882</v>
      </c>
    </row>
    <row r="45" spans="1:21" ht="60">
      <c r="A45" s="322" t="s">
        <v>272</v>
      </c>
      <c r="B45" s="322" t="s">
        <v>871</v>
      </c>
      <c r="C45" s="109" t="s">
        <v>448</v>
      </c>
      <c r="D45" s="99">
        <v>336</v>
      </c>
      <c r="E45" s="145" t="s">
        <v>294</v>
      </c>
      <c r="F45" s="109" t="s">
        <v>882</v>
      </c>
      <c r="G45" s="322" t="s">
        <v>36</v>
      </c>
      <c r="H45" s="123" t="s">
        <v>883</v>
      </c>
      <c r="I45" s="124">
        <v>45525</v>
      </c>
      <c r="J45" s="124">
        <v>45527</v>
      </c>
      <c r="K45" s="125">
        <f>2299.87+45.56</f>
        <v>2345.4299999999998</v>
      </c>
      <c r="L45" s="125">
        <f>2808.96+56.22</f>
        <v>2865.18</v>
      </c>
      <c r="M45" s="131">
        <f>K45+L45</f>
        <v>5210.6099999999997</v>
      </c>
      <c r="N45" s="109">
        <v>3</v>
      </c>
      <c r="O45" s="132">
        <v>120</v>
      </c>
      <c r="P45" s="84">
        <v>0</v>
      </c>
      <c r="Q45" s="107">
        <v>0</v>
      </c>
      <c r="R45" s="98">
        <f t="shared" si="0"/>
        <v>360</v>
      </c>
      <c r="S45" s="108">
        <f t="shared" si="1"/>
        <v>5570.61</v>
      </c>
      <c r="T45" s="108">
        <f t="shared" si="8"/>
        <v>5570.61</v>
      </c>
      <c r="U45" s="109" t="s">
        <v>882</v>
      </c>
    </row>
    <row r="46" spans="1:21" ht="45">
      <c r="A46" s="322" t="s">
        <v>253</v>
      </c>
      <c r="B46" s="322" t="s">
        <v>253</v>
      </c>
      <c r="C46" s="106" t="s">
        <v>92</v>
      </c>
      <c r="D46" s="84">
        <v>254</v>
      </c>
      <c r="E46" s="111" t="s">
        <v>535</v>
      </c>
      <c r="F46" s="111" t="s">
        <v>885</v>
      </c>
      <c r="G46" s="322" t="s">
        <v>36</v>
      </c>
      <c r="H46" s="106" t="s">
        <v>886</v>
      </c>
      <c r="I46" s="124">
        <v>45525</v>
      </c>
      <c r="J46" s="124">
        <v>45527</v>
      </c>
      <c r="K46" s="125">
        <f t="shared" si="12"/>
        <v>698.99</v>
      </c>
      <c r="L46" s="125">
        <f t="shared" si="13"/>
        <v>698.99</v>
      </c>
      <c r="M46" s="131">
        <v>1397.98</v>
      </c>
      <c r="N46" s="106">
        <f t="shared" ref="N46:N47" si="14">(J46-I46)+1</f>
        <v>3</v>
      </c>
      <c r="O46" s="130">
        <v>120</v>
      </c>
      <c r="P46" s="84">
        <v>0</v>
      </c>
      <c r="Q46" s="107">
        <v>0</v>
      </c>
      <c r="R46" s="108">
        <f t="shared" si="0"/>
        <v>360</v>
      </c>
      <c r="S46" s="108">
        <f t="shared" si="1"/>
        <v>1757.98</v>
      </c>
      <c r="T46" s="108">
        <f t="shared" si="8"/>
        <v>1757.98</v>
      </c>
      <c r="U46" s="111" t="s">
        <v>885</v>
      </c>
    </row>
    <row r="47" spans="1:21" ht="60">
      <c r="A47" s="322" t="s">
        <v>253</v>
      </c>
      <c r="B47" s="322" t="s">
        <v>887</v>
      </c>
      <c r="C47" s="106" t="s">
        <v>327</v>
      </c>
      <c r="D47" s="84">
        <v>87</v>
      </c>
      <c r="E47" s="111" t="s">
        <v>888</v>
      </c>
      <c r="F47" s="106" t="s">
        <v>882</v>
      </c>
      <c r="G47" s="322" t="s">
        <v>36</v>
      </c>
      <c r="H47" s="106" t="s">
        <v>883</v>
      </c>
      <c r="I47" s="124">
        <v>45525</v>
      </c>
      <c r="J47" s="124">
        <v>45527</v>
      </c>
      <c r="K47" s="125">
        <f t="shared" si="12"/>
        <v>1512.37</v>
      </c>
      <c r="L47" s="125">
        <f t="shared" si="13"/>
        <v>1512.37</v>
      </c>
      <c r="M47" s="131">
        <v>3024.74</v>
      </c>
      <c r="N47" s="106">
        <f t="shared" si="14"/>
        <v>3</v>
      </c>
      <c r="O47" s="130">
        <v>120</v>
      </c>
      <c r="P47" s="84">
        <v>0</v>
      </c>
      <c r="Q47" s="107">
        <v>0</v>
      </c>
      <c r="R47" s="161">
        <f>N47*O47+P47*Q47</f>
        <v>360</v>
      </c>
      <c r="S47" s="108">
        <f t="shared" si="1"/>
        <v>3384.74</v>
      </c>
      <c r="T47" s="108">
        <f t="shared" si="8"/>
        <v>3384.74</v>
      </c>
      <c r="U47" s="106" t="s">
        <v>882</v>
      </c>
    </row>
    <row r="48" spans="1:21" ht="30">
      <c r="A48" s="322" t="s">
        <v>231</v>
      </c>
      <c r="B48" s="322" t="s">
        <v>893</v>
      </c>
      <c r="C48" s="106" t="s">
        <v>894</v>
      </c>
      <c r="D48" s="84">
        <v>390</v>
      </c>
      <c r="E48" s="323" t="s">
        <v>895</v>
      </c>
      <c r="F48" s="111" t="s">
        <v>889</v>
      </c>
      <c r="G48" s="322" t="s">
        <v>36</v>
      </c>
      <c r="H48" s="106" t="s">
        <v>896</v>
      </c>
      <c r="I48" s="124">
        <v>45523</v>
      </c>
      <c r="J48" s="124">
        <v>45525</v>
      </c>
      <c r="K48" s="135">
        <f>708.38+56.22</f>
        <v>764.6</v>
      </c>
      <c r="L48" s="135">
        <f>1086.88+44.99</f>
        <v>1131.8700000000001</v>
      </c>
      <c r="M48" s="135">
        <f>K48+L48</f>
        <v>1896.4700000000003</v>
      </c>
      <c r="N48" s="106">
        <f>(J48-I48)+1</f>
        <v>3</v>
      </c>
      <c r="O48" s="136">
        <v>120</v>
      </c>
      <c r="P48" s="84">
        <v>0</v>
      </c>
      <c r="Q48" s="107">
        <v>0</v>
      </c>
      <c r="R48" s="122">
        <f>N48*O48</f>
        <v>360</v>
      </c>
      <c r="S48" s="119">
        <f>M48+R48</f>
        <v>2256.4700000000003</v>
      </c>
      <c r="T48" s="120">
        <f t="shared" si="8"/>
        <v>2256.4700000000003</v>
      </c>
      <c r="U48" s="111" t="s">
        <v>889</v>
      </c>
    </row>
    <row r="49" spans="1:21">
      <c r="A49" s="322" t="s">
        <v>253</v>
      </c>
      <c r="B49" s="322" t="s">
        <v>253</v>
      </c>
      <c r="C49" s="106" t="s">
        <v>898</v>
      </c>
      <c r="D49" s="84">
        <v>383</v>
      </c>
      <c r="E49" s="323" t="s">
        <v>884</v>
      </c>
      <c r="F49" s="111" t="s">
        <v>899</v>
      </c>
      <c r="G49" s="322" t="s">
        <v>36</v>
      </c>
      <c r="H49" s="106" t="s">
        <v>875</v>
      </c>
      <c r="I49" s="124">
        <v>45529</v>
      </c>
      <c r="J49" s="124">
        <v>45532</v>
      </c>
      <c r="K49" s="135">
        <f>1877.9+56.22</f>
        <v>1934.1200000000001</v>
      </c>
      <c r="L49" s="135">
        <f>786.8+32.1</f>
        <v>818.9</v>
      </c>
      <c r="M49" s="135">
        <f>K49+L49</f>
        <v>2753.02</v>
      </c>
      <c r="N49" s="106">
        <f>(J49-I49)+1</f>
        <v>4</v>
      </c>
      <c r="O49" s="130">
        <v>120</v>
      </c>
      <c r="P49" s="84">
        <v>0</v>
      </c>
      <c r="Q49" s="107">
        <v>0</v>
      </c>
      <c r="R49" s="122">
        <f>N49*O49</f>
        <v>480</v>
      </c>
      <c r="S49" s="119">
        <f>M49+R49</f>
        <v>3233.02</v>
      </c>
      <c r="T49" s="120">
        <f t="shared" si="8"/>
        <v>3233.02</v>
      </c>
      <c r="U49" s="111" t="s">
        <v>899</v>
      </c>
    </row>
    <row r="50" spans="1:21" ht="30">
      <c r="A50" s="322" t="s">
        <v>253</v>
      </c>
      <c r="B50" s="106" t="s">
        <v>905</v>
      </c>
      <c r="C50" s="106" t="s">
        <v>906</v>
      </c>
      <c r="D50" s="84">
        <v>74</v>
      </c>
      <c r="E50" s="111" t="s">
        <v>535</v>
      </c>
      <c r="F50" s="111" t="s">
        <v>907</v>
      </c>
      <c r="G50" s="322" t="s">
        <v>36</v>
      </c>
      <c r="H50" s="106" t="s">
        <v>908</v>
      </c>
      <c r="I50" s="124">
        <v>45530</v>
      </c>
      <c r="J50" s="124">
        <v>45532</v>
      </c>
      <c r="K50" s="131">
        <f>M50/2</f>
        <v>1208.9549999999999</v>
      </c>
      <c r="L50" s="131">
        <f>M50/2</f>
        <v>1208.9549999999999</v>
      </c>
      <c r="M50" s="131">
        <f>2316.62+101.29</f>
        <v>2417.91</v>
      </c>
      <c r="N50" s="106">
        <f>(J50-I50)+1</f>
        <v>3</v>
      </c>
      <c r="O50" s="171">
        <v>120</v>
      </c>
      <c r="P50" s="84">
        <v>0</v>
      </c>
      <c r="Q50" s="107">
        <v>0</v>
      </c>
      <c r="R50" s="108">
        <f>N50*O50</f>
        <v>360</v>
      </c>
      <c r="S50" s="172">
        <f>M50+R50</f>
        <v>2777.91</v>
      </c>
      <c r="T50" s="172">
        <f>S50</f>
        <v>2777.91</v>
      </c>
      <c r="U50" s="106"/>
    </row>
    <row r="51" spans="1:21" ht="15" customHeight="1">
      <c r="A51" s="266" t="s">
        <v>272</v>
      </c>
      <c r="B51" s="266" t="s">
        <v>871</v>
      </c>
      <c r="C51" s="266" t="s">
        <v>140</v>
      </c>
      <c r="D51" s="250">
        <v>230</v>
      </c>
      <c r="E51" s="269" t="s">
        <v>411</v>
      </c>
      <c r="F51" s="266" t="s">
        <v>899</v>
      </c>
      <c r="G51" s="327" t="s">
        <v>36</v>
      </c>
      <c r="H51" s="106" t="s">
        <v>903</v>
      </c>
      <c r="I51" s="124">
        <v>45529</v>
      </c>
      <c r="J51" s="124" t="s">
        <v>77</v>
      </c>
      <c r="K51" s="131">
        <f>455.71+54.2</f>
        <v>509.90999999999997</v>
      </c>
      <c r="L51" s="131" t="s">
        <v>77</v>
      </c>
      <c r="M51" s="131">
        <f>K51</f>
        <v>509.90999999999997</v>
      </c>
      <c r="N51" s="297">
        <f>(J54-I51)+1</f>
        <v>4</v>
      </c>
      <c r="O51" s="300">
        <v>120</v>
      </c>
      <c r="P51" s="84">
        <v>0</v>
      </c>
      <c r="Q51" s="107">
        <v>0</v>
      </c>
      <c r="R51" s="247">
        <f t="shared" ref="R51" si="15">N51*O51+P51*Q51</f>
        <v>480</v>
      </c>
      <c r="S51" s="172">
        <f>M51+R51+M52+M53+M54</f>
        <v>3961.6699999999996</v>
      </c>
      <c r="T51" s="108">
        <f t="shared" ref="T51" si="16">S51</f>
        <v>3961.6699999999996</v>
      </c>
      <c r="U51" s="266" t="s">
        <v>899</v>
      </c>
    </row>
    <row r="52" spans="1:21">
      <c r="A52" s="267"/>
      <c r="B52" s="267"/>
      <c r="C52" s="267"/>
      <c r="D52" s="265"/>
      <c r="E52" s="270"/>
      <c r="F52" s="267"/>
      <c r="G52" s="330"/>
      <c r="H52" s="106" t="s">
        <v>901</v>
      </c>
      <c r="I52" s="124" t="s">
        <v>77</v>
      </c>
      <c r="J52" s="124">
        <v>45532</v>
      </c>
      <c r="K52" s="124" t="s">
        <v>77</v>
      </c>
      <c r="L52" s="131">
        <f>571.16+400</f>
        <v>971.16</v>
      </c>
      <c r="M52" s="131">
        <f>L52</f>
        <v>971.16</v>
      </c>
      <c r="N52" s="298"/>
      <c r="O52" s="301"/>
      <c r="P52" s="84">
        <v>0</v>
      </c>
      <c r="Q52" s="107">
        <v>0</v>
      </c>
      <c r="R52" s="264"/>
      <c r="S52" s="108" t="s">
        <v>77</v>
      </c>
      <c r="T52" s="108" t="s">
        <v>77</v>
      </c>
      <c r="U52" s="267"/>
    </row>
    <row r="53" spans="1:21">
      <c r="A53" s="267"/>
      <c r="B53" s="267"/>
      <c r="C53" s="267"/>
      <c r="D53" s="265"/>
      <c r="E53" s="270"/>
      <c r="F53" s="267"/>
      <c r="G53" s="330"/>
      <c r="H53" s="106" t="s">
        <v>870</v>
      </c>
      <c r="I53" s="124" t="s">
        <v>77</v>
      </c>
      <c r="J53" s="124">
        <v>45532</v>
      </c>
      <c r="K53" s="124" t="s">
        <v>77</v>
      </c>
      <c r="L53" s="131">
        <f>597.57+32.1</f>
        <v>629.67000000000007</v>
      </c>
      <c r="M53" s="131">
        <f>L53</f>
        <v>629.67000000000007</v>
      </c>
      <c r="N53" s="298"/>
      <c r="O53" s="301"/>
      <c r="P53" s="84">
        <v>0</v>
      </c>
      <c r="Q53" s="107">
        <v>0</v>
      </c>
      <c r="R53" s="264"/>
      <c r="S53" s="108" t="s">
        <v>77</v>
      </c>
      <c r="T53" s="108" t="s">
        <v>77</v>
      </c>
      <c r="U53" s="267"/>
    </row>
    <row r="54" spans="1:21">
      <c r="A54" s="268"/>
      <c r="B54" s="268"/>
      <c r="C54" s="268"/>
      <c r="D54" s="251"/>
      <c r="E54" s="271"/>
      <c r="F54" s="268"/>
      <c r="G54" s="328"/>
      <c r="H54" s="106" t="s">
        <v>870</v>
      </c>
      <c r="I54" s="124" t="s">
        <v>77</v>
      </c>
      <c r="J54" s="124">
        <v>45532</v>
      </c>
      <c r="K54" s="124" t="s">
        <v>77</v>
      </c>
      <c r="L54" s="131">
        <f>1338.83+32.1</f>
        <v>1370.9299999999998</v>
      </c>
      <c r="M54" s="131">
        <f>L54</f>
        <v>1370.9299999999998</v>
      </c>
      <c r="N54" s="299"/>
      <c r="O54" s="302"/>
      <c r="P54" s="84">
        <v>0</v>
      </c>
      <c r="Q54" s="107">
        <v>0</v>
      </c>
      <c r="R54" s="248"/>
      <c r="S54" s="108"/>
      <c r="T54" s="108"/>
      <c r="U54" s="268"/>
    </row>
  </sheetData>
  <mergeCells count="81">
    <mergeCell ref="U37:U38"/>
    <mergeCell ref="U51:U54"/>
    <mergeCell ref="F10:F11"/>
    <mergeCell ref="U8:U9"/>
    <mergeCell ref="U10:U11"/>
    <mergeCell ref="U23:U25"/>
    <mergeCell ref="U30:U32"/>
    <mergeCell ref="N10:N11"/>
    <mergeCell ref="G35:G36"/>
    <mergeCell ref="U33:U36"/>
    <mergeCell ref="F30:F32"/>
    <mergeCell ref="F23:F25"/>
    <mergeCell ref="F37:F38"/>
    <mergeCell ref="F33:F36"/>
    <mergeCell ref="N51:N54"/>
    <mergeCell ref="O51:O5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P3:Q3"/>
    <mergeCell ref="R3:R4"/>
    <mergeCell ref="H3:H4"/>
    <mergeCell ref="S3:S4"/>
    <mergeCell ref="A8:A9"/>
    <mergeCell ref="B8:B9"/>
    <mergeCell ref="C8:C9"/>
    <mergeCell ref="D8:D9"/>
    <mergeCell ref="E8:E9"/>
    <mergeCell ref="N8:N9"/>
    <mergeCell ref="I3:I4"/>
    <mergeCell ref="J3:J4"/>
    <mergeCell ref="K3:K4"/>
    <mergeCell ref="L3:L4"/>
    <mergeCell ref="M3:M4"/>
    <mergeCell ref="N3:O3"/>
    <mergeCell ref="F3:F4"/>
    <mergeCell ref="G3:G4"/>
    <mergeCell ref="F8:F9"/>
    <mergeCell ref="A10:A11"/>
    <mergeCell ref="B10:B11"/>
    <mergeCell ref="C10:C11"/>
    <mergeCell ref="D10:D11"/>
    <mergeCell ref="E10:E11"/>
    <mergeCell ref="A22:A25"/>
    <mergeCell ref="B22:B25"/>
    <mergeCell ref="C22:C25"/>
    <mergeCell ref="D22:D25"/>
    <mergeCell ref="E22:E25"/>
    <mergeCell ref="A30:A32"/>
    <mergeCell ref="B30:B32"/>
    <mergeCell ref="C30:C32"/>
    <mergeCell ref="D30:D32"/>
    <mergeCell ref="E30:E32"/>
    <mergeCell ref="E33:E36"/>
    <mergeCell ref="D33:D36"/>
    <mergeCell ref="C33:C36"/>
    <mergeCell ref="D37:D38"/>
    <mergeCell ref="E37:E38"/>
    <mergeCell ref="B33:B36"/>
    <mergeCell ref="A33:A36"/>
    <mergeCell ref="A37:A38"/>
    <mergeCell ref="B37:B38"/>
    <mergeCell ref="C37:C38"/>
    <mergeCell ref="B51:B54"/>
    <mergeCell ref="A51:A54"/>
    <mergeCell ref="R51:R54"/>
    <mergeCell ref="C51:C54"/>
    <mergeCell ref="D51:D54"/>
    <mergeCell ref="E51:E54"/>
    <mergeCell ref="F51:F54"/>
    <mergeCell ref="G51:G54"/>
  </mergeCells>
  <phoneticPr fontId="1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0"/>
  <sheetViews>
    <sheetView showGridLines="0" topLeftCell="A15" zoomScale="90" zoomScaleNormal="90" workbookViewId="0">
      <selection activeCell="U9" sqref="U9:U10"/>
    </sheetView>
  </sheetViews>
  <sheetFormatPr defaultRowHeight="15"/>
  <cols>
    <col min="1" max="1" width="31.625" bestFit="1" customWidth="1"/>
    <col min="2" max="2" width="48.375" bestFit="1" customWidth="1"/>
    <col min="3" max="3" width="45.125" style="102" bestFit="1" customWidth="1"/>
    <col min="4" max="4" width="12.5" customWidth="1"/>
    <col min="5" max="5" width="13.375" style="146" bestFit="1" customWidth="1"/>
    <col min="6" max="6" width="29.75" style="103" customWidth="1"/>
    <col min="7" max="7" width="13.875" bestFit="1" customWidth="1"/>
    <col min="8" max="8" width="37.875" style="102" bestFit="1" customWidth="1"/>
    <col min="9" max="9" width="11.5" style="102" bestFit="1" customWidth="1"/>
    <col min="10" max="10" width="9.875" style="102" customWidth="1"/>
    <col min="11" max="12" width="12" style="138" bestFit="1" customWidth="1"/>
    <col min="13" max="13" width="13.125" style="102" bestFit="1" customWidth="1"/>
    <col min="14" max="14" width="11.125" style="103" bestFit="1" customWidth="1"/>
    <col min="15" max="15" width="12.625" style="102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1.25" bestFit="1" customWidth="1"/>
    <col min="21" max="21" width="64" style="102" bestFit="1" customWidth="1"/>
  </cols>
  <sheetData>
    <row r="1" spans="1:22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2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243"/>
      <c r="J2" s="243"/>
      <c r="K2" s="289" t="s">
        <v>5</v>
      </c>
      <c r="L2" s="289"/>
      <c r="M2" s="289"/>
      <c r="N2" s="190" t="s">
        <v>6</v>
      </c>
      <c r="O2" s="190"/>
      <c r="P2" s="190"/>
      <c r="Q2" s="190"/>
      <c r="R2" s="190"/>
      <c r="S2" s="190"/>
      <c r="T2" s="190" t="s">
        <v>7</v>
      </c>
      <c r="U2" s="290" t="s">
        <v>8</v>
      </c>
    </row>
    <row r="3" spans="1:22" s="104" customFormat="1">
      <c r="A3" s="286" t="s">
        <v>9</v>
      </c>
      <c r="B3" s="286" t="s">
        <v>10</v>
      </c>
      <c r="C3" s="284" t="s">
        <v>11</v>
      </c>
      <c r="D3" s="286" t="s">
        <v>12</v>
      </c>
      <c r="E3" s="292" t="s">
        <v>13</v>
      </c>
      <c r="F3" s="284" t="s">
        <v>14</v>
      </c>
      <c r="G3" s="286" t="s">
        <v>15</v>
      </c>
      <c r="H3" s="294" t="s">
        <v>858</v>
      </c>
      <c r="I3" s="276" t="s">
        <v>18</v>
      </c>
      <c r="J3" s="276" t="s">
        <v>19</v>
      </c>
      <c r="K3" s="278" t="s">
        <v>20</v>
      </c>
      <c r="L3" s="280" t="s">
        <v>21</v>
      </c>
      <c r="M3" s="282" t="s">
        <v>22</v>
      </c>
      <c r="N3" s="282" t="s">
        <v>23</v>
      </c>
      <c r="O3" s="282"/>
      <c r="P3" s="274" t="s">
        <v>24</v>
      </c>
      <c r="Q3" s="274"/>
      <c r="R3" s="286" t="s">
        <v>25</v>
      </c>
      <c r="S3" s="274" t="s">
        <v>22</v>
      </c>
      <c r="T3" s="190"/>
      <c r="U3" s="290"/>
    </row>
    <row r="4" spans="1:22" s="104" customFormat="1">
      <c r="A4" s="287"/>
      <c r="B4" s="287"/>
      <c r="C4" s="285"/>
      <c r="D4" s="287"/>
      <c r="E4" s="293"/>
      <c r="F4" s="285"/>
      <c r="G4" s="287"/>
      <c r="H4" s="295"/>
      <c r="I4" s="277"/>
      <c r="J4" s="277"/>
      <c r="K4" s="279"/>
      <c r="L4" s="281"/>
      <c r="M4" s="283"/>
      <c r="N4" s="139" t="s">
        <v>29</v>
      </c>
      <c r="O4" s="140" t="s">
        <v>30</v>
      </c>
      <c r="P4" s="141" t="s">
        <v>29</v>
      </c>
      <c r="Q4" s="142" t="s">
        <v>30</v>
      </c>
      <c r="R4" s="287"/>
      <c r="S4" s="275"/>
      <c r="T4" s="243"/>
      <c r="U4" s="291"/>
    </row>
    <row r="5" spans="1:22" s="92" customFormat="1" ht="30">
      <c r="A5" s="322"/>
      <c r="B5" s="322"/>
      <c r="C5" s="322" t="s">
        <v>909</v>
      </c>
      <c r="D5" s="144"/>
      <c r="E5" s="111" t="s">
        <v>910</v>
      </c>
      <c r="F5" s="121" t="s">
        <v>911</v>
      </c>
      <c r="G5" s="322" t="s">
        <v>36</v>
      </c>
      <c r="H5" s="322" t="s">
        <v>912</v>
      </c>
      <c r="I5" s="124">
        <v>45552</v>
      </c>
      <c r="J5" s="124">
        <v>45553</v>
      </c>
      <c r="K5" s="125">
        <f>M5/2</f>
        <v>1114.57</v>
      </c>
      <c r="L5" s="125">
        <f>M5/2</f>
        <v>1114.57</v>
      </c>
      <c r="M5" s="125">
        <v>2229.14</v>
      </c>
      <c r="N5" s="106">
        <v>0</v>
      </c>
      <c r="O5" s="126">
        <v>120</v>
      </c>
      <c r="P5" s="84">
        <v>0</v>
      </c>
      <c r="Q5" s="95">
        <v>0</v>
      </c>
      <c r="R5" s="70">
        <f t="shared" ref="R5:R17" si="0">N5*O5+P5*Q5</f>
        <v>0</v>
      </c>
      <c r="S5" s="70">
        <f t="shared" ref="S5:S19" si="1">M5+R5</f>
        <v>2229.14</v>
      </c>
      <c r="T5" s="70">
        <f t="shared" ref="T5:T20" si="2">S5</f>
        <v>2229.14</v>
      </c>
      <c r="U5" s="106" t="s">
        <v>913</v>
      </c>
      <c r="V5" s="84"/>
    </row>
    <row r="6" spans="1:22" s="92" customFormat="1" ht="30">
      <c r="A6" s="322" t="s">
        <v>231</v>
      </c>
      <c r="B6" s="322" t="s">
        <v>231</v>
      </c>
      <c r="C6" s="123" t="s">
        <v>914</v>
      </c>
      <c r="D6" s="147"/>
      <c r="E6" s="111" t="s">
        <v>910</v>
      </c>
      <c r="F6" s="121" t="s">
        <v>911</v>
      </c>
      <c r="G6" s="322" t="s">
        <v>36</v>
      </c>
      <c r="H6" s="322" t="s">
        <v>912</v>
      </c>
      <c r="I6" s="124">
        <v>45552</v>
      </c>
      <c r="J6" s="124">
        <v>45553</v>
      </c>
      <c r="K6" s="125">
        <f>M6/2</f>
        <v>1114.57</v>
      </c>
      <c r="L6" s="125">
        <f>M6/2</f>
        <v>1114.57</v>
      </c>
      <c r="M6" s="125">
        <v>2229.14</v>
      </c>
      <c r="N6" s="106">
        <v>0</v>
      </c>
      <c r="O6" s="126">
        <v>120</v>
      </c>
      <c r="P6" s="84">
        <v>0</v>
      </c>
      <c r="Q6" s="95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06" t="s">
        <v>915</v>
      </c>
      <c r="V6" s="84"/>
    </row>
    <row r="7" spans="1:22" s="92" customFormat="1">
      <c r="A7" s="338" t="s">
        <v>231</v>
      </c>
      <c r="B7" s="338" t="s">
        <v>231</v>
      </c>
      <c r="C7" s="338" t="s">
        <v>863</v>
      </c>
      <c r="D7" s="312">
        <v>0</v>
      </c>
      <c r="E7" s="317" t="s">
        <v>87</v>
      </c>
      <c r="F7" s="319" t="s">
        <v>916</v>
      </c>
      <c r="G7" s="338" t="s">
        <v>774</v>
      </c>
      <c r="H7" s="148" t="s">
        <v>917</v>
      </c>
      <c r="I7" s="159">
        <v>45539</v>
      </c>
      <c r="J7" s="159"/>
      <c r="K7" s="160">
        <v>2358.0100000000002</v>
      </c>
      <c r="L7" s="160" t="s">
        <v>77</v>
      </c>
      <c r="M7" s="160">
        <f>K7</f>
        <v>2358.0100000000002</v>
      </c>
      <c r="N7" s="113">
        <v>0</v>
      </c>
      <c r="O7" s="129">
        <v>120</v>
      </c>
      <c r="P7" s="115"/>
      <c r="Q7" s="114"/>
      <c r="R7" s="118"/>
      <c r="S7" s="118"/>
      <c r="T7" s="118"/>
      <c r="U7" s="113" t="s">
        <v>918</v>
      </c>
      <c r="V7" s="115"/>
    </row>
    <row r="8" spans="1:22" s="92" customFormat="1">
      <c r="A8" s="339"/>
      <c r="B8" s="339"/>
      <c r="C8" s="339"/>
      <c r="D8" s="313"/>
      <c r="E8" s="318"/>
      <c r="F8" s="320"/>
      <c r="G8" s="339"/>
      <c r="H8" s="148" t="s">
        <v>919</v>
      </c>
      <c r="I8" s="159">
        <v>45542</v>
      </c>
      <c r="J8" s="159"/>
      <c r="K8" s="160">
        <v>1397.63</v>
      </c>
      <c r="L8" s="160" t="s">
        <v>77</v>
      </c>
      <c r="M8" s="160">
        <f>K8</f>
        <v>1397.63</v>
      </c>
      <c r="N8" s="113">
        <v>0</v>
      </c>
      <c r="O8" s="129">
        <v>120</v>
      </c>
      <c r="P8" s="115">
        <v>0</v>
      </c>
      <c r="Q8" s="114">
        <v>0</v>
      </c>
      <c r="R8" s="118">
        <f t="shared" si="0"/>
        <v>0</v>
      </c>
      <c r="S8" s="118">
        <f t="shared" si="1"/>
        <v>1397.63</v>
      </c>
      <c r="T8" s="118">
        <f t="shared" si="2"/>
        <v>1397.63</v>
      </c>
      <c r="U8" s="113" t="s">
        <v>920</v>
      </c>
      <c r="V8" s="115"/>
    </row>
    <row r="9" spans="1:22" s="92" customFormat="1">
      <c r="A9" s="338" t="s">
        <v>231</v>
      </c>
      <c r="B9" s="338" t="s">
        <v>231</v>
      </c>
      <c r="C9" s="338" t="s">
        <v>863</v>
      </c>
      <c r="D9" s="312">
        <v>0</v>
      </c>
      <c r="E9" s="317" t="s">
        <v>87</v>
      </c>
      <c r="F9" s="340" t="s">
        <v>921</v>
      </c>
      <c r="G9" s="341" t="s">
        <v>36</v>
      </c>
      <c r="H9" s="148" t="s">
        <v>922</v>
      </c>
      <c r="I9" s="159">
        <v>45551</v>
      </c>
      <c r="J9" s="148"/>
      <c r="K9" s="305">
        <f t="shared" ref="K9:K19" si="3">M9/2</f>
        <v>1559</v>
      </c>
      <c r="L9" s="305">
        <f t="shared" ref="L9:L19" si="4">M9/2</f>
        <v>1559</v>
      </c>
      <c r="M9" s="305">
        <v>3118</v>
      </c>
      <c r="N9" s="303">
        <v>0</v>
      </c>
      <c r="O9" s="133">
        <v>120</v>
      </c>
      <c r="P9" s="115">
        <v>0</v>
      </c>
      <c r="Q9" s="149">
        <v>0</v>
      </c>
      <c r="R9" s="116">
        <f t="shared" si="0"/>
        <v>0</v>
      </c>
      <c r="S9" s="116">
        <f t="shared" si="1"/>
        <v>3118</v>
      </c>
      <c r="T9" s="116">
        <f t="shared" si="2"/>
        <v>3118</v>
      </c>
      <c r="U9" s="303" t="s">
        <v>923</v>
      </c>
      <c r="V9" s="115"/>
    </row>
    <row r="10" spans="1:22" s="92" customFormat="1">
      <c r="A10" s="339"/>
      <c r="B10" s="339"/>
      <c r="C10" s="339"/>
      <c r="D10" s="313"/>
      <c r="E10" s="318"/>
      <c r="F10" s="342"/>
      <c r="G10" s="341" t="s">
        <v>36</v>
      </c>
      <c r="H10" s="148" t="s">
        <v>924</v>
      </c>
      <c r="I10" s="159"/>
      <c r="J10" s="159">
        <v>45553</v>
      </c>
      <c r="K10" s="306"/>
      <c r="L10" s="306"/>
      <c r="M10" s="306"/>
      <c r="N10" s="304"/>
      <c r="O10" s="133">
        <v>120</v>
      </c>
      <c r="P10" s="115">
        <v>0</v>
      </c>
      <c r="Q10" s="149">
        <v>0</v>
      </c>
      <c r="R10" s="116">
        <f t="shared" si="0"/>
        <v>0</v>
      </c>
      <c r="S10" s="116">
        <f t="shared" si="1"/>
        <v>0</v>
      </c>
      <c r="T10" s="116">
        <f t="shared" si="2"/>
        <v>0</v>
      </c>
      <c r="U10" s="304"/>
      <c r="V10" s="115"/>
    </row>
    <row r="11" spans="1:22" ht="30">
      <c r="A11" s="343" t="s">
        <v>253</v>
      </c>
      <c r="B11" s="343" t="s">
        <v>231</v>
      </c>
      <c r="C11" s="341" t="s">
        <v>863</v>
      </c>
      <c r="D11" s="117">
        <v>0</v>
      </c>
      <c r="E11" s="112" t="s">
        <v>87</v>
      </c>
      <c r="F11" s="148" t="s">
        <v>925</v>
      </c>
      <c r="G11" s="341" t="s">
        <v>36</v>
      </c>
      <c r="H11" s="113" t="s">
        <v>875</v>
      </c>
      <c r="I11" s="127">
        <v>45557</v>
      </c>
      <c r="J11" s="127">
        <v>45561</v>
      </c>
      <c r="K11" s="128">
        <f>M11/2</f>
        <v>433.06</v>
      </c>
      <c r="L11" s="128">
        <f>M11/2</f>
        <v>433.06</v>
      </c>
      <c r="M11" s="128">
        <v>866.12</v>
      </c>
      <c r="N11" s="113">
        <v>0</v>
      </c>
      <c r="O11" s="133">
        <v>120</v>
      </c>
      <c r="P11" s="115">
        <v>0</v>
      </c>
      <c r="Q11" s="149">
        <v>0</v>
      </c>
      <c r="R11" s="116">
        <f t="shared" si="0"/>
        <v>0</v>
      </c>
      <c r="S11" s="116">
        <f t="shared" si="1"/>
        <v>866.12</v>
      </c>
      <c r="T11" s="116">
        <f t="shared" si="2"/>
        <v>866.12</v>
      </c>
      <c r="U11" s="113" t="s">
        <v>926</v>
      </c>
      <c r="V11" s="115"/>
    </row>
    <row r="12" spans="1:22">
      <c r="A12" s="322" t="s">
        <v>253</v>
      </c>
      <c r="B12" s="322" t="s">
        <v>877</v>
      </c>
      <c r="C12" s="153" t="s">
        <v>927</v>
      </c>
      <c r="D12" s="100"/>
      <c r="E12" s="336"/>
      <c r="F12" s="106" t="s">
        <v>925</v>
      </c>
      <c r="G12" s="322" t="s">
        <v>36</v>
      </c>
      <c r="H12" s="106" t="s">
        <v>875</v>
      </c>
      <c r="I12" s="124">
        <v>45557</v>
      </c>
      <c r="J12" s="124">
        <v>45561</v>
      </c>
      <c r="K12" s="125">
        <f t="shared" si="3"/>
        <v>628</v>
      </c>
      <c r="L12" s="125">
        <f t="shared" si="4"/>
        <v>628</v>
      </c>
      <c r="M12" s="131">
        <v>1256</v>
      </c>
      <c r="N12" s="110">
        <f>(J12-I12)+1</f>
        <v>5</v>
      </c>
      <c r="O12" s="130">
        <v>120</v>
      </c>
      <c r="P12" s="84">
        <v>0</v>
      </c>
      <c r="Q12" s="107">
        <v>0</v>
      </c>
      <c r="R12" s="108">
        <f>N12*O12</f>
        <v>600</v>
      </c>
      <c r="S12" s="155">
        <f>M12+R12</f>
        <v>1856</v>
      </c>
      <c r="T12" s="154">
        <f t="shared" si="2"/>
        <v>1856</v>
      </c>
      <c r="U12" s="106" t="s">
        <v>928</v>
      </c>
      <c r="V12" s="84"/>
    </row>
    <row r="13" spans="1:22">
      <c r="A13" s="322" t="s">
        <v>231</v>
      </c>
      <c r="B13" s="322" t="s">
        <v>231</v>
      </c>
      <c r="C13" s="123" t="s">
        <v>768</v>
      </c>
      <c r="D13" s="156">
        <v>392</v>
      </c>
      <c r="E13" s="111" t="s">
        <v>798</v>
      </c>
      <c r="F13" s="106" t="s">
        <v>925</v>
      </c>
      <c r="G13" s="322" t="s">
        <v>36</v>
      </c>
      <c r="H13" s="106" t="s">
        <v>875</v>
      </c>
      <c r="I13" s="124">
        <v>45557</v>
      </c>
      <c r="J13" s="124">
        <v>45561</v>
      </c>
      <c r="K13" s="135">
        <f t="shared" ref="K13" si="5">M13/2</f>
        <v>628</v>
      </c>
      <c r="L13" s="135">
        <f t="shared" ref="L13" si="6">M13/2</f>
        <v>628</v>
      </c>
      <c r="M13" s="131">
        <v>1256</v>
      </c>
      <c r="N13" s="110">
        <f>(J13-I13)+1</f>
        <v>5</v>
      </c>
      <c r="O13" s="157">
        <v>120</v>
      </c>
      <c r="P13" s="84">
        <v>0</v>
      </c>
      <c r="Q13" s="158">
        <v>0</v>
      </c>
      <c r="R13" s="154">
        <f t="shared" si="0"/>
        <v>600</v>
      </c>
      <c r="S13" s="154">
        <f t="shared" si="1"/>
        <v>1856</v>
      </c>
      <c r="T13" s="154">
        <f t="shared" si="2"/>
        <v>1856</v>
      </c>
      <c r="U13" s="106" t="s">
        <v>929</v>
      </c>
      <c r="V13" s="84"/>
    </row>
    <row r="14" spans="1:22" ht="60">
      <c r="A14" s="343" t="s">
        <v>253</v>
      </c>
      <c r="B14" s="343" t="s">
        <v>231</v>
      </c>
      <c r="C14" s="341" t="s">
        <v>863</v>
      </c>
      <c r="D14" s="117">
        <v>0</v>
      </c>
      <c r="E14" s="112" t="s">
        <v>87</v>
      </c>
      <c r="F14" s="112" t="s">
        <v>930</v>
      </c>
      <c r="G14" s="341" t="s">
        <v>36</v>
      </c>
      <c r="H14" s="113" t="s">
        <v>931</v>
      </c>
      <c r="I14" s="127">
        <v>45545</v>
      </c>
      <c r="J14" s="127">
        <v>45546</v>
      </c>
      <c r="K14" s="128">
        <f t="shared" si="3"/>
        <v>1950.07</v>
      </c>
      <c r="L14" s="128">
        <f t="shared" si="4"/>
        <v>1950.07</v>
      </c>
      <c r="M14" s="134">
        <v>3900.14</v>
      </c>
      <c r="N14" s="113">
        <v>0</v>
      </c>
      <c r="O14" s="133">
        <v>120</v>
      </c>
      <c r="P14" s="115">
        <v>0</v>
      </c>
      <c r="Q14" s="149">
        <v>0</v>
      </c>
      <c r="R14" s="116">
        <f t="shared" si="0"/>
        <v>0</v>
      </c>
      <c r="S14" s="116">
        <f t="shared" si="1"/>
        <v>3900.14</v>
      </c>
      <c r="T14" s="116">
        <f t="shared" si="2"/>
        <v>3900.14</v>
      </c>
      <c r="U14" s="113" t="s">
        <v>932</v>
      </c>
      <c r="V14" s="115"/>
    </row>
    <row r="15" spans="1:22" ht="60">
      <c r="A15" s="322" t="s">
        <v>231</v>
      </c>
      <c r="B15" s="322" t="s">
        <v>933</v>
      </c>
      <c r="C15" s="106" t="s">
        <v>934</v>
      </c>
      <c r="D15" s="84">
        <v>383</v>
      </c>
      <c r="E15" s="111"/>
      <c r="F15" s="111" t="s">
        <v>930</v>
      </c>
      <c r="G15" s="322" t="s">
        <v>36</v>
      </c>
      <c r="H15" s="106" t="s">
        <v>931</v>
      </c>
      <c r="I15" s="124">
        <v>45545</v>
      </c>
      <c r="J15" s="124">
        <v>45546</v>
      </c>
      <c r="K15" s="125">
        <f t="shared" si="3"/>
        <v>1573.7750000000001</v>
      </c>
      <c r="L15" s="125">
        <f t="shared" si="4"/>
        <v>1573.7750000000001</v>
      </c>
      <c r="M15" s="131">
        <v>3147.55</v>
      </c>
      <c r="N15" s="106">
        <f t="shared" ref="N15:N19" si="7">(J15-I15)+1</f>
        <v>2</v>
      </c>
      <c r="O15" s="130">
        <v>120</v>
      </c>
      <c r="P15" s="84">
        <v>0</v>
      </c>
      <c r="Q15" s="107">
        <v>0</v>
      </c>
      <c r="R15" s="108">
        <f t="shared" si="0"/>
        <v>240</v>
      </c>
      <c r="S15" s="108">
        <f t="shared" si="1"/>
        <v>3387.55</v>
      </c>
      <c r="T15" s="108">
        <f t="shared" si="2"/>
        <v>3387.55</v>
      </c>
      <c r="U15" s="106" t="s">
        <v>935</v>
      </c>
      <c r="V15" s="84"/>
    </row>
    <row r="16" spans="1:22" ht="60">
      <c r="A16" s="322" t="s">
        <v>231</v>
      </c>
      <c r="B16" s="322" t="s">
        <v>231</v>
      </c>
      <c r="C16" s="123" t="s">
        <v>768</v>
      </c>
      <c r="D16" s="156">
        <v>392</v>
      </c>
      <c r="E16" s="111" t="s">
        <v>798</v>
      </c>
      <c r="F16" s="111" t="s">
        <v>930</v>
      </c>
      <c r="G16" s="322" t="s">
        <v>36</v>
      </c>
      <c r="H16" s="106" t="s">
        <v>931</v>
      </c>
      <c r="I16" s="124">
        <v>45545</v>
      </c>
      <c r="J16" s="124">
        <v>45546</v>
      </c>
      <c r="K16" s="125">
        <f t="shared" si="3"/>
        <v>1950.07</v>
      </c>
      <c r="L16" s="125">
        <f t="shared" si="4"/>
        <v>1950.07</v>
      </c>
      <c r="M16" s="131">
        <v>3900.14</v>
      </c>
      <c r="N16" s="106">
        <f t="shared" si="7"/>
        <v>2</v>
      </c>
      <c r="O16" s="132">
        <v>120</v>
      </c>
      <c r="P16" s="84">
        <v>0</v>
      </c>
      <c r="Q16" s="107">
        <v>0</v>
      </c>
      <c r="R16" s="98">
        <f t="shared" si="0"/>
        <v>240</v>
      </c>
      <c r="S16" s="108">
        <f t="shared" si="1"/>
        <v>4140.1399999999994</v>
      </c>
      <c r="T16" s="108">
        <f t="shared" si="2"/>
        <v>4140.1399999999994</v>
      </c>
      <c r="U16" s="106" t="s">
        <v>936</v>
      </c>
      <c r="V16" s="84"/>
    </row>
    <row r="17" spans="1:22" ht="60">
      <c r="A17" s="322" t="s">
        <v>253</v>
      </c>
      <c r="B17" s="322" t="s">
        <v>859</v>
      </c>
      <c r="C17" s="322" t="s">
        <v>802</v>
      </c>
      <c r="D17" s="144">
        <v>404</v>
      </c>
      <c r="E17" s="111" t="s">
        <v>860</v>
      </c>
      <c r="F17" s="111"/>
      <c r="G17" s="322" t="s">
        <v>36</v>
      </c>
      <c r="H17" s="106" t="s">
        <v>875</v>
      </c>
      <c r="I17" s="124">
        <v>45559</v>
      </c>
      <c r="J17" s="124">
        <v>45561</v>
      </c>
      <c r="K17" s="125">
        <f>M17/2</f>
        <v>926.99</v>
      </c>
      <c r="L17" s="125">
        <f t="shared" si="4"/>
        <v>926.99</v>
      </c>
      <c r="M17" s="131">
        <v>1853.98</v>
      </c>
      <c r="N17" s="106">
        <f t="shared" si="7"/>
        <v>3</v>
      </c>
      <c r="O17" s="130">
        <v>120</v>
      </c>
      <c r="P17" s="84">
        <v>0</v>
      </c>
      <c r="Q17" s="107">
        <v>0</v>
      </c>
      <c r="R17" s="108">
        <f t="shared" si="0"/>
        <v>360</v>
      </c>
      <c r="S17" s="108">
        <f t="shared" si="1"/>
        <v>2213.98</v>
      </c>
      <c r="T17" s="108">
        <f t="shared" si="2"/>
        <v>2213.98</v>
      </c>
      <c r="U17" s="106" t="s">
        <v>937</v>
      </c>
      <c r="V17" s="84"/>
    </row>
    <row r="18" spans="1:22" ht="45">
      <c r="A18" s="322" t="s">
        <v>253</v>
      </c>
      <c r="B18" s="322" t="s">
        <v>212</v>
      </c>
      <c r="C18" s="322" t="s">
        <v>620</v>
      </c>
      <c r="D18" s="144">
        <v>365</v>
      </c>
      <c r="E18" s="111" t="s">
        <v>34</v>
      </c>
      <c r="F18" s="111"/>
      <c r="G18" s="322" t="s">
        <v>36</v>
      </c>
      <c r="H18" s="106" t="s">
        <v>875</v>
      </c>
      <c r="I18" s="124">
        <v>45559</v>
      </c>
      <c r="J18" s="124">
        <v>45561</v>
      </c>
      <c r="K18" s="125">
        <f>M18/2</f>
        <v>692.01499999999999</v>
      </c>
      <c r="L18" s="125">
        <f t="shared" si="4"/>
        <v>692.01499999999999</v>
      </c>
      <c r="M18" s="131">
        <v>1384.03</v>
      </c>
      <c r="N18" s="106">
        <f t="shared" ref="N18" si="8">(J18-I18)+1</f>
        <v>3</v>
      </c>
      <c r="O18" s="130">
        <v>120</v>
      </c>
      <c r="P18" s="84">
        <v>0</v>
      </c>
      <c r="Q18" s="107">
        <v>0</v>
      </c>
      <c r="R18" s="108">
        <f t="shared" ref="R18" si="9">N18*O18+P18*Q18</f>
        <v>360</v>
      </c>
      <c r="S18" s="108">
        <f t="shared" ref="S18" si="10">M18+R18</f>
        <v>1744.03</v>
      </c>
      <c r="T18" s="108">
        <f t="shared" ref="T18" si="11">S18</f>
        <v>1744.03</v>
      </c>
      <c r="U18" s="106" t="s">
        <v>938</v>
      </c>
      <c r="V18" s="84"/>
    </row>
    <row r="19" spans="1:22" ht="60">
      <c r="A19" s="322" t="s">
        <v>253</v>
      </c>
      <c r="B19" s="322" t="s">
        <v>887</v>
      </c>
      <c r="C19" s="106" t="s">
        <v>327</v>
      </c>
      <c r="D19" s="84">
        <v>87</v>
      </c>
      <c r="E19" s="111" t="s">
        <v>888</v>
      </c>
      <c r="F19" s="106"/>
      <c r="G19" s="322" t="s">
        <v>36</v>
      </c>
      <c r="H19" s="106" t="s">
        <v>875</v>
      </c>
      <c r="I19" s="124">
        <v>45559</v>
      </c>
      <c r="J19" s="124">
        <v>45561</v>
      </c>
      <c r="K19" s="125">
        <f t="shared" si="3"/>
        <v>692.01499999999999</v>
      </c>
      <c r="L19" s="125">
        <f t="shared" si="4"/>
        <v>692.01499999999999</v>
      </c>
      <c r="M19" s="131">
        <v>1384.03</v>
      </c>
      <c r="N19" s="106">
        <f t="shared" si="7"/>
        <v>3</v>
      </c>
      <c r="O19" s="130">
        <v>120</v>
      </c>
      <c r="P19" s="84">
        <v>0</v>
      </c>
      <c r="Q19" s="107">
        <v>0</v>
      </c>
      <c r="R19" s="108">
        <f>N19*O19+P19*Q19</f>
        <v>360</v>
      </c>
      <c r="S19" s="108">
        <f t="shared" si="1"/>
        <v>1744.03</v>
      </c>
      <c r="T19" s="108">
        <f t="shared" si="2"/>
        <v>1744.03</v>
      </c>
      <c r="U19" s="106" t="s">
        <v>939</v>
      </c>
      <c r="V19" s="84"/>
    </row>
    <row r="20" spans="1:22" s="104" customFormat="1" ht="30" customHeight="1">
      <c r="A20" s="322" t="s">
        <v>253</v>
      </c>
      <c r="B20" s="322" t="s">
        <v>940</v>
      </c>
      <c r="C20" s="106" t="s">
        <v>941</v>
      </c>
      <c r="D20" s="84">
        <v>390</v>
      </c>
      <c r="E20" s="323" t="s">
        <v>942</v>
      </c>
      <c r="F20" s="111" t="s">
        <v>889</v>
      </c>
      <c r="G20" s="322" t="s">
        <v>36</v>
      </c>
      <c r="H20" s="106" t="s">
        <v>896</v>
      </c>
      <c r="I20" s="124">
        <v>45523</v>
      </c>
      <c r="J20" s="124">
        <v>45525</v>
      </c>
      <c r="K20" s="135">
        <f>708.38+56.22</f>
        <v>764.6</v>
      </c>
      <c r="L20" s="135">
        <f>1086.88+44.99</f>
        <v>1131.8700000000001</v>
      </c>
      <c r="M20" s="135">
        <f>K20+L20</f>
        <v>1896.4700000000003</v>
      </c>
      <c r="N20" s="106">
        <f>(J20-I20)+1</f>
        <v>3</v>
      </c>
      <c r="O20" s="136">
        <v>120</v>
      </c>
      <c r="P20" s="84">
        <v>0</v>
      </c>
      <c r="Q20" s="107">
        <v>0</v>
      </c>
      <c r="R20" s="122">
        <f>N20*O20</f>
        <v>360</v>
      </c>
      <c r="S20" s="119">
        <f>M20+R20</f>
        <v>2256.4700000000003</v>
      </c>
      <c r="T20" s="120">
        <f t="shared" si="2"/>
        <v>2256.4700000000003</v>
      </c>
      <c r="U20" s="106"/>
      <c r="V20" s="84"/>
    </row>
    <row r="21" spans="1:22">
      <c r="A21" s="322" t="s">
        <v>253</v>
      </c>
      <c r="B21" s="322" t="s">
        <v>940</v>
      </c>
      <c r="C21" s="106" t="s">
        <v>943</v>
      </c>
      <c r="D21" s="84">
        <v>0</v>
      </c>
      <c r="E21" s="323" t="s">
        <v>944</v>
      </c>
      <c r="F21" s="123"/>
      <c r="G21" s="322" t="s">
        <v>36</v>
      </c>
      <c r="H21" s="106" t="s">
        <v>862</v>
      </c>
      <c r="I21" s="124">
        <v>45565</v>
      </c>
      <c r="J21" s="124">
        <v>45567</v>
      </c>
      <c r="K21" s="135">
        <f t="shared" ref="K21" si="12">M21/2</f>
        <v>584.88499999999999</v>
      </c>
      <c r="L21" s="135">
        <f>M21/2</f>
        <v>584.88499999999999</v>
      </c>
      <c r="M21" s="131">
        <f>1082.11+87.66</f>
        <v>1169.77</v>
      </c>
      <c r="N21" s="106">
        <f t="shared" ref="N21:N22" si="13">(J21-I21)+1</f>
        <v>3</v>
      </c>
      <c r="O21" s="157">
        <v>120</v>
      </c>
      <c r="P21" s="84">
        <v>0</v>
      </c>
      <c r="Q21" s="158">
        <v>0</v>
      </c>
      <c r="R21" s="154">
        <f>N21*O21+P21*Q21</f>
        <v>360</v>
      </c>
      <c r="S21" s="154">
        <f>M21+R21</f>
        <v>1529.77</v>
      </c>
      <c r="T21" s="154">
        <f>S21</f>
        <v>1529.77</v>
      </c>
      <c r="U21" s="106"/>
      <c r="V21" s="84"/>
    </row>
    <row r="22" spans="1:22" s="104" customFormat="1" ht="30" customHeight="1">
      <c r="A22" s="322" t="s">
        <v>253</v>
      </c>
      <c r="B22" s="322" t="s">
        <v>253</v>
      </c>
      <c r="C22" s="106" t="s">
        <v>898</v>
      </c>
      <c r="D22" s="84">
        <v>383</v>
      </c>
      <c r="E22" s="323" t="s">
        <v>884</v>
      </c>
      <c r="F22" s="111"/>
      <c r="G22" s="322" t="s">
        <v>36</v>
      </c>
      <c r="H22" s="106" t="s">
        <v>862</v>
      </c>
      <c r="I22" s="124">
        <v>45565</v>
      </c>
      <c r="J22" s="124">
        <v>45567</v>
      </c>
      <c r="K22" s="135">
        <f>1877.9+56.22</f>
        <v>1934.1200000000001</v>
      </c>
      <c r="L22" s="135">
        <f>786.8+32.1</f>
        <v>818.9</v>
      </c>
      <c r="M22" s="131">
        <f>1082.11+87.66</f>
        <v>1169.77</v>
      </c>
      <c r="N22" s="106">
        <f t="shared" si="13"/>
        <v>3</v>
      </c>
      <c r="O22" s="157">
        <v>120</v>
      </c>
      <c r="P22" s="84">
        <v>0</v>
      </c>
      <c r="Q22" s="107">
        <v>0</v>
      </c>
      <c r="R22" s="154">
        <f>N22*O22+P22*Q22</f>
        <v>360</v>
      </c>
      <c r="S22" s="154">
        <f>M22+R22</f>
        <v>1529.77</v>
      </c>
      <c r="T22" s="154">
        <f>S22</f>
        <v>1529.77</v>
      </c>
      <c r="U22" s="143"/>
      <c r="V22" s="84"/>
    </row>
    <row r="23" spans="1:22">
      <c r="A23" s="309" t="s">
        <v>272</v>
      </c>
      <c r="B23" s="266" t="s">
        <v>871</v>
      </c>
      <c r="C23" s="266" t="s">
        <v>140</v>
      </c>
      <c r="D23" s="250">
        <v>230</v>
      </c>
      <c r="E23" s="269" t="s">
        <v>411</v>
      </c>
      <c r="F23" s="266" t="s">
        <v>899</v>
      </c>
      <c r="G23" s="322" t="s">
        <v>36</v>
      </c>
      <c r="H23" s="106" t="s">
        <v>900</v>
      </c>
      <c r="I23" s="124">
        <v>45529</v>
      </c>
      <c r="J23" s="137">
        <v>45532</v>
      </c>
      <c r="K23" s="131">
        <f>455.71+54.2</f>
        <v>509.90999999999997</v>
      </c>
      <c r="L23" s="131">
        <f>597.57+32.1</f>
        <v>629.67000000000007</v>
      </c>
      <c r="M23" s="131">
        <f>K23+L23</f>
        <v>1139.58</v>
      </c>
      <c r="N23" s="106">
        <f>(J23-I23)+1</f>
        <v>4</v>
      </c>
      <c r="O23" s="130">
        <v>120</v>
      </c>
      <c r="P23" s="84">
        <v>0</v>
      </c>
      <c r="Q23" s="107">
        <v>0</v>
      </c>
      <c r="R23" s="108">
        <f t="shared" ref="R23:R26" si="14">N23*O23+P23*Q23</f>
        <v>480</v>
      </c>
      <c r="S23" s="108">
        <f t="shared" ref="S23:S26" si="15">M23+R23</f>
        <v>1619.58</v>
      </c>
      <c r="T23" s="108">
        <f t="shared" ref="T23:T26" si="16">S23</f>
        <v>1619.58</v>
      </c>
      <c r="U23" s="105" t="s">
        <v>945</v>
      </c>
      <c r="V23" s="44"/>
    </row>
    <row r="24" spans="1:22">
      <c r="A24" s="310"/>
      <c r="B24" s="267"/>
      <c r="C24" s="267"/>
      <c r="D24" s="265"/>
      <c r="E24" s="270"/>
      <c r="F24" s="267"/>
      <c r="G24" s="322" t="s">
        <v>36</v>
      </c>
      <c r="H24" s="106" t="s">
        <v>901</v>
      </c>
      <c r="I24" s="124">
        <v>45532</v>
      </c>
      <c r="J24" s="124">
        <v>45532</v>
      </c>
      <c r="K24" s="131">
        <f>571.16+400</f>
        <v>971.16</v>
      </c>
      <c r="L24" s="131">
        <v>0</v>
      </c>
      <c r="M24" s="131">
        <f t="shared" ref="M24:M30" si="17">K24+L24</f>
        <v>971.16</v>
      </c>
      <c r="N24" s="106" t="s">
        <v>77</v>
      </c>
      <c r="O24" s="130">
        <v>120</v>
      </c>
      <c r="P24" s="84">
        <v>0</v>
      </c>
      <c r="Q24" s="107">
        <v>0</v>
      </c>
      <c r="R24" s="108" t="s">
        <v>77</v>
      </c>
      <c r="S24" s="108" t="s">
        <v>77</v>
      </c>
      <c r="T24" s="108" t="s">
        <v>77</v>
      </c>
      <c r="U24" s="105" t="s">
        <v>946</v>
      </c>
      <c r="V24" s="44"/>
    </row>
    <row r="25" spans="1:22">
      <c r="A25" s="311"/>
      <c r="B25" s="268"/>
      <c r="C25" s="268"/>
      <c r="D25" s="251"/>
      <c r="E25" s="271"/>
      <c r="F25" s="268"/>
      <c r="G25" s="322" t="s">
        <v>36</v>
      </c>
      <c r="H25" s="106" t="s">
        <v>870</v>
      </c>
      <c r="I25" s="124">
        <v>45532</v>
      </c>
      <c r="J25" s="124">
        <v>45532</v>
      </c>
      <c r="K25" s="131">
        <f>1338.83+32.1</f>
        <v>1370.9299999999998</v>
      </c>
      <c r="L25" s="131">
        <v>0</v>
      </c>
      <c r="M25" s="131">
        <f t="shared" si="17"/>
        <v>1370.9299999999998</v>
      </c>
      <c r="N25" s="106" t="s">
        <v>77</v>
      </c>
      <c r="O25" s="130">
        <v>120</v>
      </c>
      <c r="P25" s="84">
        <v>0</v>
      </c>
      <c r="Q25" s="107">
        <v>0</v>
      </c>
      <c r="R25" s="108" t="s">
        <v>77</v>
      </c>
      <c r="S25" s="108" t="s">
        <v>77</v>
      </c>
      <c r="T25" s="108" t="s">
        <v>77</v>
      </c>
      <c r="U25" s="105" t="s">
        <v>947</v>
      </c>
      <c r="V25" s="44"/>
    </row>
    <row r="26" spans="1:22">
      <c r="A26" s="303" t="s">
        <v>272</v>
      </c>
      <c r="B26" s="303" t="s">
        <v>272</v>
      </c>
      <c r="C26" s="303" t="s">
        <v>819</v>
      </c>
      <c r="D26" s="307">
        <v>0</v>
      </c>
      <c r="E26" s="340" t="s">
        <v>864</v>
      </c>
      <c r="F26" s="303" t="s">
        <v>899</v>
      </c>
      <c r="G26" s="341" t="s">
        <v>36</v>
      </c>
      <c r="H26" s="113" t="s">
        <v>948</v>
      </c>
      <c r="I26" s="127">
        <v>45529</v>
      </c>
      <c r="J26" s="150">
        <v>45532</v>
      </c>
      <c r="K26" s="134">
        <f>2233.41+42.09</f>
        <v>2275.5</v>
      </c>
      <c r="L26" s="134">
        <f>597.57+32.1</f>
        <v>629.67000000000007</v>
      </c>
      <c r="M26" s="134">
        <f t="shared" si="17"/>
        <v>2905.17</v>
      </c>
      <c r="N26" s="113">
        <v>0</v>
      </c>
      <c r="O26" s="133">
        <v>120</v>
      </c>
      <c r="P26" s="115">
        <v>0</v>
      </c>
      <c r="Q26" s="149">
        <v>0</v>
      </c>
      <c r="R26" s="116">
        <f t="shared" si="14"/>
        <v>0</v>
      </c>
      <c r="S26" s="116">
        <f t="shared" si="15"/>
        <v>2905.17</v>
      </c>
      <c r="T26" s="116">
        <f t="shared" si="16"/>
        <v>2905.17</v>
      </c>
      <c r="U26" s="151" t="s">
        <v>949</v>
      </c>
      <c r="V26" s="44"/>
    </row>
    <row r="27" spans="1:22">
      <c r="A27" s="315"/>
      <c r="B27" s="315"/>
      <c r="C27" s="315"/>
      <c r="D27" s="316"/>
      <c r="E27" s="344"/>
      <c r="F27" s="315"/>
      <c r="G27" s="341" t="s">
        <v>36</v>
      </c>
      <c r="H27" s="113" t="s">
        <v>901</v>
      </c>
      <c r="I27" s="127">
        <v>45532</v>
      </c>
      <c r="J27" s="127">
        <v>45532</v>
      </c>
      <c r="K27" s="134">
        <f>571.16+400</f>
        <v>971.16</v>
      </c>
      <c r="L27" s="134">
        <v>0</v>
      </c>
      <c r="M27" s="134">
        <f t="shared" si="17"/>
        <v>971.16</v>
      </c>
      <c r="N27" s="113" t="s">
        <v>77</v>
      </c>
      <c r="O27" s="133">
        <v>120</v>
      </c>
      <c r="P27" s="115">
        <v>0</v>
      </c>
      <c r="Q27" s="149">
        <v>0</v>
      </c>
      <c r="R27" s="116" t="s">
        <v>77</v>
      </c>
      <c r="S27" s="116" t="s">
        <v>77</v>
      </c>
      <c r="T27" s="116" t="s">
        <v>77</v>
      </c>
      <c r="U27" s="151" t="s">
        <v>950</v>
      </c>
      <c r="V27" s="44"/>
    </row>
    <row r="28" spans="1:22">
      <c r="A28" s="304"/>
      <c r="B28" s="304"/>
      <c r="C28" s="304"/>
      <c r="D28" s="308"/>
      <c r="E28" s="342"/>
      <c r="F28" s="304"/>
      <c r="G28" s="341" t="s">
        <v>36</v>
      </c>
      <c r="H28" s="113" t="s">
        <v>870</v>
      </c>
      <c r="I28" s="127">
        <v>45532</v>
      </c>
      <c r="J28" s="127">
        <v>45532</v>
      </c>
      <c r="K28" s="134">
        <f>1338.83+32.1</f>
        <v>1370.9299999999998</v>
      </c>
      <c r="L28" s="134">
        <v>0</v>
      </c>
      <c r="M28" s="134">
        <f t="shared" si="17"/>
        <v>1370.9299999999998</v>
      </c>
      <c r="N28" s="113" t="s">
        <v>77</v>
      </c>
      <c r="O28" s="133">
        <v>120</v>
      </c>
      <c r="P28" s="115">
        <v>0</v>
      </c>
      <c r="Q28" s="149">
        <v>0</v>
      </c>
      <c r="R28" s="116" t="s">
        <v>77</v>
      </c>
      <c r="S28" s="116" t="s">
        <v>77</v>
      </c>
      <c r="T28" s="116" t="s">
        <v>77</v>
      </c>
      <c r="U28" s="151" t="s">
        <v>951</v>
      </c>
      <c r="V28" s="44"/>
    </row>
    <row r="29" spans="1:22">
      <c r="A29" s="338" t="s">
        <v>253</v>
      </c>
      <c r="B29" s="338" t="s">
        <v>253</v>
      </c>
      <c r="C29" s="303" t="s">
        <v>387</v>
      </c>
      <c r="D29" s="307">
        <v>0</v>
      </c>
      <c r="E29" s="345" t="s">
        <v>868</v>
      </c>
      <c r="F29" s="314" t="s">
        <v>899</v>
      </c>
      <c r="G29" s="341" t="s">
        <v>36</v>
      </c>
      <c r="H29" s="113" t="s">
        <v>875</v>
      </c>
      <c r="I29" s="127">
        <v>45529</v>
      </c>
      <c r="J29" s="150">
        <v>45532</v>
      </c>
      <c r="K29" s="134">
        <f>1877.9+56.22</f>
        <v>1934.1200000000001</v>
      </c>
      <c r="L29" s="134">
        <f>786.8+32.1</f>
        <v>818.9</v>
      </c>
      <c r="M29" s="134">
        <f t="shared" si="17"/>
        <v>2753.02</v>
      </c>
      <c r="N29" s="113">
        <v>0</v>
      </c>
      <c r="O29" s="133">
        <v>120</v>
      </c>
      <c r="P29" s="115">
        <v>0</v>
      </c>
      <c r="Q29" s="149">
        <v>0</v>
      </c>
      <c r="R29" s="116">
        <f t="shared" ref="R29" si="18">N29*O29+P29*Q29</f>
        <v>0</v>
      </c>
      <c r="S29" s="116">
        <f t="shared" ref="S29" si="19">M29+R29</f>
        <v>2753.02</v>
      </c>
      <c r="T29" s="116">
        <f t="shared" ref="T29" si="20">S29</f>
        <v>2753.02</v>
      </c>
      <c r="U29" s="151" t="s">
        <v>952</v>
      </c>
      <c r="V29" s="44"/>
    </row>
    <row r="30" spans="1:22" ht="30">
      <c r="A30" s="339"/>
      <c r="B30" s="339"/>
      <c r="C30" s="304"/>
      <c r="D30" s="308"/>
      <c r="E30" s="345"/>
      <c r="F30" s="314"/>
      <c r="G30" s="341" t="s">
        <v>36</v>
      </c>
      <c r="H30" s="113" t="s">
        <v>903</v>
      </c>
      <c r="I30" s="127">
        <v>45532</v>
      </c>
      <c r="J30" s="127">
        <v>45532</v>
      </c>
      <c r="K30" s="134">
        <f>571.16+400</f>
        <v>971.16</v>
      </c>
      <c r="L30" s="134">
        <v>0</v>
      </c>
      <c r="M30" s="134">
        <f t="shared" si="17"/>
        <v>971.16</v>
      </c>
      <c r="N30" s="113" t="s">
        <v>77</v>
      </c>
      <c r="O30" s="133">
        <v>120</v>
      </c>
      <c r="P30" s="115">
        <v>0</v>
      </c>
      <c r="Q30" s="149">
        <v>0</v>
      </c>
      <c r="R30" s="116" t="s">
        <v>77</v>
      </c>
      <c r="S30" s="116" t="s">
        <v>77</v>
      </c>
      <c r="T30" s="116" t="s">
        <v>77</v>
      </c>
      <c r="U30" s="152" t="s">
        <v>953</v>
      </c>
      <c r="V30" s="44"/>
    </row>
  </sheetData>
  <mergeCells count="61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E23:E25"/>
    <mergeCell ref="F23:F25"/>
    <mergeCell ref="P3:Q3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E29:E30"/>
    <mergeCell ref="F29:F30"/>
    <mergeCell ref="A26:A28"/>
    <mergeCell ref="B26:B28"/>
    <mergeCell ref="C26:C28"/>
    <mergeCell ref="D26:D28"/>
    <mergeCell ref="E26:E28"/>
    <mergeCell ref="F26:F28"/>
    <mergeCell ref="A7:A8"/>
    <mergeCell ref="A29:A30"/>
    <mergeCell ref="B29:B30"/>
    <mergeCell ref="C29:C30"/>
    <mergeCell ref="D29:D30"/>
    <mergeCell ref="A23:A25"/>
    <mergeCell ref="B23:B25"/>
    <mergeCell ref="C23:C25"/>
    <mergeCell ref="D23:D25"/>
    <mergeCell ref="A9:A10"/>
    <mergeCell ref="B9:B10"/>
    <mergeCell ref="C9:C10"/>
    <mergeCell ref="D9:D10"/>
    <mergeCell ref="B7:B8"/>
    <mergeCell ref="C7:C8"/>
    <mergeCell ref="D7:D8"/>
    <mergeCell ref="U9:U10"/>
    <mergeCell ref="G7:G8"/>
    <mergeCell ref="F9:F10"/>
    <mergeCell ref="K9:K10"/>
    <mergeCell ref="L9:L10"/>
    <mergeCell ref="M9:M10"/>
  </mergeCells>
  <phoneticPr fontId="1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1135-AFC0-4933-9BFD-D84A8E24E72C}">
  <dimension ref="A1:X10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90" t="s">
        <v>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15">
      <c r="A2" s="190" t="s">
        <v>2</v>
      </c>
      <c r="B2" s="190"/>
      <c r="C2" s="190" t="s">
        <v>3</v>
      </c>
      <c r="D2" s="190"/>
      <c r="E2" s="190"/>
      <c r="F2" s="190" t="s">
        <v>4</v>
      </c>
      <c r="G2" s="190"/>
      <c r="H2" s="190"/>
      <c r="I2" s="190"/>
      <c r="J2" s="190"/>
      <c r="K2" s="190"/>
      <c r="L2" s="190"/>
      <c r="M2" s="190"/>
      <c r="N2" s="190" t="s">
        <v>5</v>
      </c>
      <c r="O2" s="190"/>
      <c r="P2" s="190"/>
      <c r="Q2" s="190" t="s">
        <v>6</v>
      </c>
      <c r="R2" s="190"/>
      <c r="S2" s="190"/>
      <c r="T2" s="190"/>
      <c r="U2" s="190"/>
      <c r="V2" s="190"/>
      <c r="W2" s="190" t="s">
        <v>7</v>
      </c>
      <c r="X2" s="241" t="s">
        <v>8</v>
      </c>
    </row>
    <row r="3" spans="1:24" ht="15">
      <c r="A3" s="189" t="s">
        <v>9</v>
      </c>
      <c r="B3" s="189" t="s">
        <v>10</v>
      </c>
      <c r="C3" s="189" t="s">
        <v>11</v>
      </c>
      <c r="D3" s="189" t="s">
        <v>12</v>
      </c>
      <c r="E3" s="189" t="s">
        <v>13</v>
      </c>
      <c r="F3" s="189" t="s">
        <v>14</v>
      </c>
      <c r="G3" s="189" t="s">
        <v>15</v>
      </c>
      <c r="H3" s="189" t="s">
        <v>16</v>
      </c>
      <c r="I3" s="189"/>
      <c r="J3" s="188" t="s">
        <v>17</v>
      </c>
      <c r="K3" s="188"/>
      <c r="L3" s="189" t="s">
        <v>18</v>
      </c>
      <c r="M3" s="189" t="s">
        <v>19</v>
      </c>
      <c r="N3" s="188" t="s">
        <v>20</v>
      </c>
      <c r="O3" s="188" t="s">
        <v>21</v>
      </c>
      <c r="P3" s="188" t="s">
        <v>22</v>
      </c>
      <c r="Q3" s="188" t="s">
        <v>23</v>
      </c>
      <c r="R3" s="188"/>
      <c r="S3" s="188" t="s">
        <v>24</v>
      </c>
      <c r="T3" s="188"/>
      <c r="U3" s="189" t="s">
        <v>25</v>
      </c>
      <c r="V3" s="188" t="s">
        <v>22</v>
      </c>
      <c r="W3" s="190"/>
      <c r="X3" s="241"/>
    </row>
    <row r="4" spans="1:24" ht="15">
      <c r="A4" s="244"/>
      <c r="B4" s="244"/>
      <c r="C4" s="244"/>
      <c r="D4" s="244"/>
      <c r="E4" s="244"/>
      <c r="F4" s="244"/>
      <c r="G4" s="244"/>
      <c r="H4" s="10" t="s">
        <v>26</v>
      </c>
      <c r="I4" s="10" t="s">
        <v>27</v>
      </c>
      <c r="J4" s="10" t="s">
        <v>26</v>
      </c>
      <c r="K4" s="11" t="s">
        <v>28</v>
      </c>
      <c r="L4" s="244"/>
      <c r="M4" s="244"/>
      <c r="N4" s="245"/>
      <c r="O4" s="245"/>
      <c r="P4" s="245"/>
      <c r="Q4" s="10" t="s">
        <v>29</v>
      </c>
      <c r="R4" s="11" t="s">
        <v>30</v>
      </c>
      <c r="S4" s="10" t="s">
        <v>29</v>
      </c>
      <c r="T4" s="11" t="s">
        <v>30</v>
      </c>
      <c r="U4" s="244"/>
      <c r="V4" s="245"/>
      <c r="W4" s="243"/>
      <c r="X4" s="242"/>
    </row>
    <row r="5" spans="1:24" s="92" customFormat="1" ht="15">
      <c r="A5" s="322" t="s">
        <v>253</v>
      </c>
      <c r="B5" s="322" t="s">
        <v>253</v>
      </c>
      <c r="C5" s="322" t="s">
        <v>387</v>
      </c>
      <c r="D5" s="47">
        <v>0</v>
      </c>
      <c r="E5" s="322" t="s">
        <v>50</v>
      </c>
      <c r="F5" s="323" t="s">
        <v>801</v>
      </c>
      <c r="G5" s="322" t="s">
        <v>36</v>
      </c>
      <c r="H5" s="322" t="s">
        <v>37</v>
      </c>
      <c r="I5" s="322" t="s">
        <v>38</v>
      </c>
      <c r="J5" s="322" t="s">
        <v>62</v>
      </c>
      <c r="K5" s="322" t="s">
        <v>63</v>
      </c>
      <c r="L5" s="90">
        <v>45483</v>
      </c>
      <c r="M5" s="90">
        <v>45489</v>
      </c>
      <c r="N5" s="95">
        <f>1982.97/2</f>
        <v>991.48500000000001</v>
      </c>
      <c r="O5" s="95">
        <f>1982.97/2</f>
        <v>991.48500000000001</v>
      </c>
      <c r="P5" s="95">
        <f t="shared" ref="P5:P10" si="0">SUM(N5:O5)</f>
        <v>1982.97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7"/>
    </row>
    <row r="6" spans="1:24" s="92" customFormat="1" ht="30">
      <c r="A6" s="322" t="s">
        <v>231</v>
      </c>
      <c r="B6" s="322" t="s">
        <v>231</v>
      </c>
      <c r="C6" s="322" t="s">
        <v>704</v>
      </c>
      <c r="D6" s="47">
        <v>0</v>
      </c>
      <c r="E6" s="322" t="s">
        <v>562</v>
      </c>
      <c r="F6" s="323" t="s">
        <v>856</v>
      </c>
      <c r="G6" s="322" t="s">
        <v>36</v>
      </c>
      <c r="H6" s="322" t="s">
        <v>37</v>
      </c>
      <c r="I6" s="322" t="s">
        <v>38</v>
      </c>
      <c r="J6" s="322" t="s">
        <v>409</v>
      </c>
      <c r="K6" s="322" t="s">
        <v>410</v>
      </c>
      <c r="L6" s="90">
        <v>45497</v>
      </c>
      <c r="M6" s="90">
        <v>45498</v>
      </c>
      <c r="N6" s="95">
        <f>2494.34/2</f>
        <v>1247.17</v>
      </c>
      <c r="O6" s="95">
        <f>2494.34/2</f>
        <v>1247.17</v>
      </c>
      <c r="P6" s="95">
        <f t="shared" si="0"/>
        <v>2494.34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7"/>
    </row>
    <row r="7" spans="1:24" s="92" customFormat="1" ht="15">
      <c r="A7" s="322" t="s">
        <v>231</v>
      </c>
      <c r="B7" s="322" t="s">
        <v>366</v>
      </c>
      <c r="C7" s="322" t="s">
        <v>789</v>
      </c>
      <c r="D7" s="47">
        <v>393</v>
      </c>
      <c r="E7" s="323" t="s">
        <v>790</v>
      </c>
      <c r="F7" s="323" t="s">
        <v>857</v>
      </c>
      <c r="G7" s="322" t="s">
        <v>36</v>
      </c>
      <c r="H7" s="322" t="s">
        <v>37</v>
      </c>
      <c r="I7" s="322" t="s">
        <v>38</v>
      </c>
      <c r="J7" s="322" t="s">
        <v>409</v>
      </c>
      <c r="K7" s="322" t="s">
        <v>410</v>
      </c>
      <c r="L7" s="90">
        <v>45497</v>
      </c>
      <c r="M7" s="90">
        <v>45498</v>
      </c>
      <c r="N7" s="95">
        <f>2170.94/2</f>
        <v>1085.47</v>
      </c>
      <c r="O7" s="95">
        <f>2170.94/2</f>
        <v>1085.47</v>
      </c>
      <c r="P7" s="95">
        <f t="shared" si="0"/>
        <v>2170.94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7"/>
    </row>
    <row r="8" spans="1:24" s="92" customFormat="1" ht="15">
      <c r="A8" s="329" t="s">
        <v>231</v>
      </c>
      <c r="B8" s="329" t="s">
        <v>231</v>
      </c>
      <c r="C8" s="329" t="s">
        <v>704</v>
      </c>
      <c r="D8" s="256">
        <v>0</v>
      </c>
      <c r="E8" s="327" t="s">
        <v>562</v>
      </c>
      <c r="F8" s="333" t="s">
        <v>857</v>
      </c>
      <c r="G8" s="322" t="s">
        <v>36</v>
      </c>
      <c r="H8" s="322" t="s">
        <v>37</v>
      </c>
      <c r="I8" s="322" t="s">
        <v>38</v>
      </c>
      <c r="J8" s="322" t="s">
        <v>39</v>
      </c>
      <c r="K8" s="322" t="s">
        <v>40</v>
      </c>
      <c r="L8" s="97">
        <v>45482</v>
      </c>
      <c r="M8" s="97">
        <v>45484</v>
      </c>
      <c r="N8" s="95">
        <f>2015.83/2</f>
        <v>1007.915</v>
      </c>
      <c r="O8" s="95">
        <f>2015.83/2</f>
        <v>1007.915</v>
      </c>
      <c r="P8" s="95">
        <f t="shared" si="0"/>
        <v>2015.83</v>
      </c>
      <c r="Q8" s="250">
        <v>0</v>
      </c>
      <c r="R8" s="252">
        <v>120</v>
      </c>
      <c r="S8" s="250">
        <v>0</v>
      </c>
      <c r="T8" s="252">
        <v>0</v>
      </c>
      <c r="U8" s="247">
        <f t="shared" si="1"/>
        <v>0</v>
      </c>
      <c r="V8" s="247">
        <f t="shared" si="2"/>
        <v>2015.83</v>
      </c>
      <c r="W8" s="247">
        <f t="shared" si="3"/>
        <v>2015.83</v>
      </c>
      <c r="X8" s="250"/>
    </row>
    <row r="9" spans="1:24" s="92" customFormat="1" ht="15">
      <c r="A9" s="329"/>
      <c r="B9" s="329"/>
      <c r="C9" s="329"/>
      <c r="D9" s="257"/>
      <c r="E9" s="330"/>
      <c r="F9" s="333"/>
      <c r="G9" s="322" t="s">
        <v>36</v>
      </c>
      <c r="H9" s="322" t="s">
        <v>39</v>
      </c>
      <c r="I9" s="322" t="s">
        <v>40</v>
      </c>
      <c r="J9" s="322" t="s">
        <v>62</v>
      </c>
      <c r="K9" s="322" t="s">
        <v>63</v>
      </c>
      <c r="L9" s="97">
        <v>45484</v>
      </c>
      <c r="M9" s="97">
        <v>45485</v>
      </c>
      <c r="N9" s="95">
        <f>1998.31/2</f>
        <v>999.15499999999997</v>
      </c>
      <c r="O9" s="95">
        <f>1998.31/2</f>
        <v>999.15499999999997</v>
      </c>
      <c r="P9" s="95">
        <f t="shared" si="0"/>
        <v>1998.31</v>
      </c>
      <c r="Q9" s="265"/>
      <c r="R9" s="259"/>
      <c r="S9" s="265"/>
      <c r="T9" s="259"/>
      <c r="U9" s="264"/>
      <c r="V9" s="264"/>
      <c r="W9" s="264"/>
      <c r="X9" s="265"/>
    </row>
    <row r="10" spans="1:24" ht="15">
      <c r="A10" s="329"/>
      <c r="B10" s="329"/>
      <c r="C10" s="329"/>
      <c r="D10" s="258"/>
      <c r="E10" s="328"/>
      <c r="F10" s="333"/>
      <c r="G10" s="322" t="s">
        <v>36</v>
      </c>
      <c r="H10" s="322" t="s">
        <v>62</v>
      </c>
      <c r="I10" s="322" t="s">
        <v>63</v>
      </c>
      <c r="J10" s="322" t="s">
        <v>37</v>
      </c>
      <c r="K10" s="322" t="s">
        <v>38</v>
      </c>
      <c r="L10" s="97">
        <v>45485</v>
      </c>
      <c r="M10" s="97">
        <v>45485</v>
      </c>
      <c r="N10" s="95">
        <f>2400.31/2</f>
        <v>1200.155</v>
      </c>
      <c r="O10" s="95">
        <f>2400.31/2</f>
        <v>1200.155</v>
      </c>
      <c r="P10" s="95">
        <f t="shared" si="0"/>
        <v>2400.31</v>
      </c>
      <c r="Q10" s="251"/>
      <c r="R10" s="253"/>
      <c r="S10" s="251"/>
      <c r="T10" s="253"/>
      <c r="U10" s="248"/>
      <c r="V10" s="248"/>
      <c r="W10" s="248"/>
      <c r="X10" s="251"/>
    </row>
  </sheetData>
  <mergeCells count="40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A8:A10"/>
    <mergeCell ref="B8:B10"/>
    <mergeCell ref="C8:C10"/>
    <mergeCell ref="D8:D10"/>
    <mergeCell ref="E8:E10"/>
    <mergeCell ref="F8:F10"/>
    <mergeCell ref="J3:K3"/>
    <mergeCell ref="L3:L4"/>
    <mergeCell ref="M3:M4"/>
    <mergeCell ref="N3:N4"/>
    <mergeCell ref="O3:O4"/>
    <mergeCell ref="P3:P4"/>
    <mergeCell ref="W8:W10"/>
    <mergeCell ref="X8:X10"/>
    <mergeCell ref="Q8:Q10"/>
    <mergeCell ref="R8:R10"/>
    <mergeCell ref="S8:S10"/>
    <mergeCell ref="T8:T10"/>
    <mergeCell ref="U8:U10"/>
    <mergeCell ref="V8:V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1" t="s">
        <v>0</v>
      </c>
      <c r="W5" s="321"/>
      <c r="X5" s="8">
        <v>43191</v>
      </c>
    </row>
    <row r="6" spans="1:24">
      <c r="A6" s="190" t="s">
        <v>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>
      <c r="A7" s="190" t="s">
        <v>2</v>
      </c>
      <c r="B7" s="190"/>
      <c r="C7" s="190" t="s">
        <v>3</v>
      </c>
      <c r="D7" s="190"/>
      <c r="E7" s="190"/>
      <c r="F7" s="190" t="s">
        <v>4</v>
      </c>
      <c r="G7" s="190"/>
      <c r="H7" s="190"/>
      <c r="I7" s="190"/>
      <c r="J7" s="190"/>
      <c r="K7" s="190"/>
      <c r="L7" s="190"/>
      <c r="M7" s="190"/>
      <c r="N7" s="190" t="s">
        <v>5</v>
      </c>
      <c r="O7" s="190"/>
      <c r="P7" s="190"/>
      <c r="Q7" s="190" t="s">
        <v>6</v>
      </c>
      <c r="R7" s="190"/>
      <c r="S7" s="190"/>
      <c r="T7" s="190"/>
      <c r="U7" s="190"/>
      <c r="V7" s="190"/>
      <c r="W7" s="190" t="s">
        <v>7</v>
      </c>
      <c r="X7" s="190" t="s">
        <v>8</v>
      </c>
    </row>
    <row r="8" spans="1:24" s="9" customFormat="1">
      <c r="A8" s="189" t="s">
        <v>9</v>
      </c>
      <c r="B8" s="189" t="s">
        <v>10</v>
      </c>
      <c r="C8" s="189" t="s">
        <v>11</v>
      </c>
      <c r="D8" s="189" t="s">
        <v>12</v>
      </c>
      <c r="E8" s="189" t="s">
        <v>13</v>
      </c>
      <c r="F8" s="189" t="s">
        <v>14</v>
      </c>
      <c r="G8" s="189" t="s">
        <v>15</v>
      </c>
      <c r="H8" s="189" t="s">
        <v>16</v>
      </c>
      <c r="I8" s="189"/>
      <c r="J8" s="188" t="s">
        <v>17</v>
      </c>
      <c r="K8" s="188"/>
      <c r="L8" s="189" t="s">
        <v>18</v>
      </c>
      <c r="M8" s="189" t="s">
        <v>19</v>
      </c>
      <c r="N8" s="188" t="s">
        <v>20</v>
      </c>
      <c r="O8" s="188" t="s">
        <v>21</v>
      </c>
      <c r="P8" s="188" t="s">
        <v>22</v>
      </c>
      <c r="Q8" s="188" t="s">
        <v>23</v>
      </c>
      <c r="R8" s="188"/>
      <c r="S8" s="188" t="s">
        <v>24</v>
      </c>
      <c r="T8" s="188"/>
      <c r="U8" s="189" t="s">
        <v>25</v>
      </c>
      <c r="V8" s="188" t="s">
        <v>22</v>
      </c>
      <c r="W8" s="190"/>
      <c r="X8" s="190"/>
    </row>
    <row r="9" spans="1:24" s="9" customFormat="1" ht="17.25" customHeight="1">
      <c r="A9" s="189"/>
      <c r="B9" s="189"/>
      <c r="C9" s="189"/>
      <c r="D9" s="189"/>
      <c r="E9" s="189"/>
      <c r="F9" s="189"/>
      <c r="G9" s="189"/>
      <c r="H9" s="10" t="s">
        <v>26</v>
      </c>
      <c r="I9" s="10" t="s">
        <v>27</v>
      </c>
      <c r="J9" s="10" t="s">
        <v>26</v>
      </c>
      <c r="K9" s="11" t="s">
        <v>28</v>
      </c>
      <c r="L9" s="189"/>
      <c r="M9" s="189"/>
      <c r="N9" s="188"/>
      <c r="O9" s="188"/>
      <c r="P9" s="188"/>
      <c r="Q9" s="10" t="s">
        <v>29</v>
      </c>
      <c r="R9" s="11" t="s">
        <v>30</v>
      </c>
      <c r="S9" s="10" t="s">
        <v>29</v>
      </c>
      <c r="T9" s="11" t="s">
        <v>30</v>
      </c>
      <c r="U9" s="189"/>
      <c r="V9" s="188"/>
      <c r="W9" s="190"/>
      <c r="X9" s="190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Michele Maciel de Souza</cp:lastModifiedBy>
  <cp:revision>9</cp:revision>
  <dcterms:created xsi:type="dcterms:W3CDTF">2017-08-07T12:58:20Z</dcterms:created>
  <dcterms:modified xsi:type="dcterms:W3CDTF">2025-01-22T18:02:48Z</dcterms:modified>
  <cp:category/>
  <cp:contentStatus/>
</cp:coreProperties>
</file>