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1410" windowWidth="19440" windowHeight="10860" firstSheet="65" activeTab="69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Plan2" sheetId="68" r:id="rId71"/>
    <sheet name="Plan3" sheetId="80" r:id="rId72"/>
  </sheets>
  <calcPr calcId="145621"/>
</workbook>
</file>

<file path=xl/calcChain.xml><?xml version="1.0" encoding="utf-8"?>
<calcChain xmlns="http://schemas.openxmlformats.org/spreadsheetml/2006/main">
  <c r="U17" i="84" l="1"/>
  <c r="U18" i="84"/>
  <c r="P17" i="84"/>
  <c r="V17" i="84" s="1"/>
  <c r="W17" i="84" s="1"/>
  <c r="P18" i="84"/>
  <c r="V18" i="84" s="1"/>
  <c r="W18" i="84" s="1"/>
  <c r="O17" i="84"/>
  <c r="O18" i="84"/>
  <c r="N18" i="84"/>
  <c r="N17" i="84"/>
  <c r="O15" i="84"/>
  <c r="O16" i="84"/>
  <c r="P16" i="84" s="1"/>
  <c r="N16" i="84"/>
  <c r="N15" i="84"/>
  <c r="O14" i="84"/>
  <c r="N14" i="84"/>
  <c r="O13" i="84"/>
  <c r="N13" i="84"/>
  <c r="P13" i="84" s="1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O5" i="84"/>
  <c r="O6" i="84"/>
  <c r="O7" i="84"/>
  <c r="P7" i="84" s="1"/>
  <c r="N6" i="84"/>
  <c r="N7" i="84"/>
  <c r="N5" i="84"/>
  <c r="P5" i="84" s="1"/>
  <c r="U16" i="84"/>
  <c r="U9" i="84"/>
  <c r="U8" i="84"/>
  <c r="P8" i="84"/>
  <c r="U7" i="84"/>
  <c r="U6" i="84"/>
  <c r="U5" i="84"/>
  <c r="V15" i="84" l="1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V11" i="83" s="1"/>
  <c r="W11" i="83" s="1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P10" i="83" l="1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V12" i="82" s="1"/>
  <c r="W12" i="82" s="1"/>
  <c r="U13" i="82"/>
  <c r="V13" i="82" s="1"/>
  <c r="W13" i="82" s="1"/>
  <c r="U14" i="82"/>
  <c r="V14" i="82" s="1"/>
  <c r="W14" i="82" s="1"/>
  <c r="U15" i="82"/>
  <c r="V15" i="82" s="1"/>
  <c r="W15" i="82" s="1"/>
  <c r="P14" i="82"/>
  <c r="O15" i="82"/>
  <c r="P15" i="82" s="1"/>
  <c r="N15" i="82"/>
  <c r="O14" i="82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2" i="82" l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V17" i="81"/>
  <c r="W17" i="81" s="1"/>
  <c r="O11" i="81"/>
  <c r="O14" i="81"/>
  <c r="O17" i="81"/>
  <c r="P17" i="81" s="1"/>
  <c r="N17" i="81"/>
  <c r="N11" i="81"/>
  <c r="P11" i="81" s="1"/>
  <c r="V11" i="81" s="1"/>
  <c r="W11" i="81" s="1"/>
  <c r="N14" i="81"/>
  <c r="P14" i="81"/>
  <c r="V14" i="81" s="1"/>
  <c r="W14" i="81" s="1"/>
  <c r="O10" i="81"/>
  <c r="N10" i="81"/>
  <c r="O9" i="81"/>
  <c r="N9" i="81"/>
  <c r="O8" i="81"/>
  <c r="N8" i="81"/>
  <c r="O7" i="81"/>
  <c r="N7" i="81"/>
  <c r="O6" i="81"/>
  <c r="N6" i="81"/>
  <c r="O5" i="81"/>
  <c r="N5" i="81"/>
  <c r="U10" i="81"/>
  <c r="U9" i="81"/>
  <c r="P9" i="81"/>
  <c r="U8" i="81"/>
  <c r="U6" i="81"/>
  <c r="U5" i="81"/>
  <c r="P5" i="81"/>
  <c r="P10" i="81" l="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V9" i="79"/>
  <c r="W9" i="79"/>
  <c r="P6" i="79"/>
  <c r="P7" i="79"/>
  <c r="P8" i="79"/>
  <c r="P9" i="79"/>
  <c r="P10" i="79"/>
  <c r="O9" i="79"/>
  <c r="O10" i="79"/>
  <c r="N10" i="79"/>
  <c r="N9" i="79"/>
  <c r="O8" i="79"/>
  <c r="N8" i="79"/>
  <c r="O7" i="79"/>
  <c r="N7" i="79"/>
  <c r="O6" i="79"/>
  <c r="N6" i="79"/>
  <c r="O5" i="79"/>
  <c r="N5" i="79"/>
  <c r="U10" i="79"/>
  <c r="V10" i="79" s="1"/>
  <c r="W10" i="79" s="1"/>
  <c r="U8" i="79"/>
  <c r="U7" i="79"/>
  <c r="U6" i="79"/>
  <c r="U5" i="79"/>
  <c r="P5" i="79"/>
  <c r="V6" i="79" l="1"/>
  <c r="W6" i="79" s="1"/>
  <c r="V5" i="79"/>
  <c r="W5" i="79" s="1"/>
  <c r="V7" i="79"/>
  <c r="W7" i="79" s="1"/>
  <c r="V8" i="79"/>
  <c r="W8" i="79" s="1"/>
  <c r="V10" i="78"/>
  <c r="W10" i="78"/>
  <c r="W9" i="78"/>
  <c r="V9" i="78"/>
  <c r="U8" i="78"/>
  <c r="V8" i="78" s="1"/>
  <c r="W8" i="78" s="1"/>
  <c r="U9" i="78"/>
  <c r="U10" i="78"/>
  <c r="O10" i="78"/>
  <c r="N10" i="78"/>
  <c r="O9" i="78"/>
  <c r="N9" i="78"/>
  <c r="P9" i="78" s="1"/>
  <c r="P8" i="78"/>
  <c r="P10" i="78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6" i="78" l="1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P10" i="75" s="1"/>
  <c r="O9" i="75"/>
  <c r="N9" i="75"/>
  <c r="P9" i="75" s="1"/>
  <c r="O8" i="75"/>
  <c r="N8" i="75"/>
  <c r="P8" i="75" s="1"/>
  <c r="O6" i="75"/>
  <c r="N6" i="75"/>
  <c r="P6" i="75" s="1"/>
  <c r="P7" i="75"/>
  <c r="U5" i="75"/>
  <c r="P5" i="75"/>
  <c r="V11" i="75" l="1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O7" i="74"/>
  <c r="P7" i="74" s="1"/>
  <c r="N7" i="74"/>
  <c r="N6" i="74"/>
  <c r="P6" i="74"/>
  <c r="O5" i="74"/>
  <c r="N5" i="74"/>
  <c r="U7" i="74"/>
  <c r="U6" i="74"/>
  <c r="U5" i="74"/>
  <c r="P5" i="74" l="1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V11" i="72" s="1"/>
  <c r="W11" i="72" s="1"/>
  <c r="U12" i="72"/>
  <c r="V12" i="72" s="1"/>
  <c r="W12" i="72" s="1"/>
  <c r="U5" i="72"/>
  <c r="V5" i="72" s="1"/>
  <c r="W5" i="72" s="1"/>
  <c r="P12" i="72"/>
  <c r="P6" i="72"/>
  <c r="V6" i="72" s="1"/>
  <c r="W6" i="72" s="1"/>
  <c r="P7" i="72"/>
  <c r="P8" i="72"/>
  <c r="P9" i="72"/>
  <c r="P10" i="72"/>
  <c r="P11" i="72"/>
  <c r="P5" i="72"/>
  <c r="O12" i="72"/>
  <c r="N12" i="72"/>
  <c r="O11" i="72"/>
  <c r="N11" i="72"/>
  <c r="O10" i="72"/>
  <c r="N10" i="72"/>
  <c r="O9" i="72"/>
  <c r="N9" i="72"/>
  <c r="O8" i="72"/>
  <c r="N8" i="72"/>
  <c r="O7" i="72"/>
  <c r="N7" i="72"/>
  <c r="O6" i="72"/>
  <c r="N6" i="72"/>
  <c r="O5" i="72"/>
  <c r="N5" i="72"/>
  <c r="V9" i="72" l="1"/>
  <c r="W9" i="72" s="1"/>
  <c r="V8" i="72"/>
  <c r="W8" i="72" s="1"/>
  <c r="V7" i="72"/>
  <c r="W7" i="72" s="1"/>
  <c r="V10" i="72"/>
  <c r="W10" i="72" s="1"/>
  <c r="V5" i="71"/>
  <c r="W5" i="71"/>
  <c r="U5" i="7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V13" i="67" s="1"/>
  <c r="W13" i="67" s="1"/>
  <c r="U14" i="67"/>
  <c r="U15" i="67"/>
  <c r="U16" i="67"/>
  <c r="U17" i="67"/>
  <c r="V17" i="67" s="1"/>
  <c r="W17" i="67" s="1"/>
  <c r="U18" i="67"/>
  <c r="V18" i="67" s="1"/>
  <c r="W18" i="67" s="1"/>
  <c r="U19" i="67"/>
  <c r="V19" i="67" s="1"/>
  <c r="W19" i="67" s="1"/>
  <c r="U20" i="67"/>
  <c r="U21" i="67"/>
  <c r="U22" i="67"/>
  <c r="U23" i="67"/>
  <c r="V23" i="67" s="1"/>
  <c r="W23" i="67" s="1"/>
  <c r="U24" i="67"/>
  <c r="V24" i="67" s="1"/>
  <c r="W24" i="67" s="1"/>
  <c r="U25" i="67"/>
  <c r="V25" i="67" s="1"/>
  <c r="W25" i="67" s="1"/>
  <c r="U26" i="67"/>
  <c r="U27" i="67"/>
  <c r="U28" i="67"/>
  <c r="U29" i="67"/>
  <c r="V29" i="67" s="1"/>
  <c r="W29" i="67" s="1"/>
  <c r="U7" i="67"/>
  <c r="U6" i="67"/>
  <c r="P6" i="67"/>
  <c r="U5" i="67"/>
  <c r="P5" i="67"/>
  <c r="V28" i="67" l="1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P5" i="66" s="1"/>
  <c r="N5" i="66"/>
  <c r="U6" i="66"/>
  <c r="U5" i="66"/>
  <c r="V7" i="66" l="1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<sst xmlns="http://schemas.openxmlformats.org/spreadsheetml/2006/main" count="8236" uniqueCount="736">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</sst>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44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3" fillId="2" borderId="0" applyNumberFormat="0" applyFont="0" applyBorder="0" applyProtection="0"/>
    <xf numFmtId="0" fontId="34" fillId="0" borderId="0" applyNumberFormat="0" applyBorder="0" applyProtection="0">
      <alignment horizontal="center"/>
    </xf>
    <xf numFmtId="0" fontId="34" fillId="0" borderId="0" applyNumberFormat="0" applyBorder="0" applyProtection="0">
      <alignment horizontal="center" textRotation="90"/>
    </xf>
    <xf numFmtId="0" fontId="35" fillId="0" borderId="0" applyNumberFormat="0" applyBorder="0" applyProtection="0"/>
    <xf numFmtId="166" fontId="35" fillId="0" borderId="0" applyBorder="0" applyProtection="0"/>
    <xf numFmtId="0" fontId="32" fillId="0" borderId="0"/>
    <xf numFmtId="44" fontId="33" fillId="0" borderId="0" applyFont="0" applyFill="0" applyBorder="0" applyAlignment="0" applyProtection="0"/>
    <xf numFmtId="0" fontId="29" fillId="0" borderId="0"/>
  </cellStyleXfs>
  <cellXfs count="429">
    <xf numFmtId="0" fontId="0" fillId="0" borderId="0" xfId="0"/>
    <xf numFmtId="0" fontId="0" fillId="3" borderId="0" xfId="0" applyFill="1" applyAlignment="1"/>
    <xf numFmtId="0" fontId="41" fillId="3" borderId="0" xfId="0" applyFont="1" applyFill="1" applyAlignment="1"/>
    <xf numFmtId="0" fontId="42" fillId="3" borderId="0" xfId="0" applyFont="1" applyFill="1"/>
    <xf numFmtId="0" fontId="42" fillId="0" borderId="0" xfId="0" applyFont="1"/>
    <xf numFmtId="0" fontId="39" fillId="3" borderId="0" xfId="0" applyFont="1" applyFill="1" applyAlignment="1"/>
    <xf numFmtId="0" fontId="37" fillId="3" borderId="0" xfId="0" applyFont="1" applyFill="1"/>
    <xf numFmtId="0" fontId="40" fillId="3" borderId="0" xfId="0" applyFont="1" applyFill="1" applyAlignment="1"/>
    <xf numFmtId="165" fontId="36" fillId="0" borderId="1" xfId="0" applyNumberFormat="1" applyFont="1" applyBorder="1" applyAlignment="1">
      <alignment horizontal="right"/>
    </xf>
    <xf numFmtId="0" fontId="0" fillId="5" borderId="0" xfId="0" applyFill="1"/>
    <xf numFmtId="0" fontId="38" fillId="5" borderId="0" xfId="0" applyFont="1" applyFill="1" applyAlignment="1">
      <alignment horizontal="center"/>
    </xf>
    <xf numFmtId="164" fontId="38" fillId="5" borderId="0" xfId="0" applyNumberFormat="1" applyFont="1" applyFill="1" applyAlignment="1">
      <alignment horizontal="center"/>
    </xf>
    <xf numFmtId="0" fontId="43" fillId="3" borderId="1" xfId="0" applyFont="1" applyFill="1" applyBorder="1" applyAlignment="1">
      <alignment horizontal="center" vertical="top"/>
    </xf>
    <xf numFmtId="0" fontId="43" fillId="0" borderId="1" xfId="0" applyFont="1" applyBorder="1" applyAlignment="1">
      <alignment horizontal="center" vertical="top"/>
    </xf>
    <xf numFmtId="0" fontId="43" fillId="3" borderId="1" xfId="0" applyFont="1" applyFill="1" applyBorder="1" applyAlignment="1">
      <alignment horizontal="center" vertical="top" wrapText="1"/>
    </xf>
    <xf numFmtId="164" fontId="43" fillId="3" borderId="1" xfId="0" applyNumberFormat="1" applyFont="1" applyFill="1" applyBorder="1" applyAlignment="1">
      <alignment horizontal="center" vertical="top"/>
    </xf>
    <xf numFmtId="14" fontId="43" fillId="3" borderId="1" xfId="0" applyNumberFormat="1" applyFont="1" applyFill="1" applyBorder="1" applyAlignment="1">
      <alignment horizontal="center" vertical="top"/>
    </xf>
    <xf numFmtId="14" fontId="43" fillId="3" borderId="2" xfId="0" applyNumberFormat="1" applyFont="1" applyFill="1" applyBorder="1" applyAlignment="1">
      <alignment horizontal="center" vertical="top"/>
    </xf>
    <xf numFmtId="0" fontId="42" fillId="0" borderId="1" xfId="0" applyFont="1" applyBorder="1" applyAlignment="1">
      <alignment horizontal="center" vertical="top"/>
    </xf>
    <xf numFmtId="0" fontId="43" fillId="3" borderId="1" xfId="0" applyFont="1" applyFill="1" applyBorder="1" applyAlignment="1">
      <alignment horizontal="center" vertical="center"/>
    </xf>
    <xf numFmtId="0" fontId="43" fillId="3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164" fontId="43" fillId="3" borderId="1" xfId="0" applyNumberFormat="1" applyFont="1" applyFill="1" applyBorder="1" applyAlignment="1">
      <alignment horizontal="center" vertical="center"/>
    </xf>
    <xf numFmtId="14" fontId="43" fillId="3" borderId="1" xfId="0" applyNumberFormat="1" applyFont="1" applyFill="1" applyBorder="1" applyAlignment="1">
      <alignment horizontal="center" vertical="center"/>
    </xf>
    <xf numFmtId="167" fontId="4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43" fillId="3" borderId="1" xfId="0" applyNumberFormat="1" applyFont="1" applyFill="1" applyBorder="1" applyAlignment="1">
      <alignment horizontal="center" vertical="center"/>
    </xf>
    <xf numFmtId="0" fontId="43" fillId="6" borderId="1" xfId="0" applyFont="1" applyFill="1" applyBorder="1" applyAlignment="1">
      <alignment horizontal="center" vertical="center"/>
    </xf>
    <xf numFmtId="0" fontId="43" fillId="6" borderId="1" xfId="0" applyFont="1" applyFill="1" applyBorder="1" applyAlignment="1">
      <alignment horizontal="center" vertical="top"/>
    </xf>
    <xf numFmtId="49" fontId="43" fillId="6" borderId="1" xfId="0" applyNumberFormat="1" applyFont="1" applyFill="1" applyBorder="1" applyAlignment="1">
      <alignment horizontal="center" vertical="center"/>
    </xf>
    <xf numFmtId="0" fontId="43" fillId="7" borderId="1" xfId="0" applyFont="1" applyFill="1" applyBorder="1" applyAlignment="1">
      <alignment horizontal="center" vertical="center"/>
    </xf>
    <xf numFmtId="164" fontId="43" fillId="6" borderId="1" xfId="0" applyNumberFormat="1" applyFont="1" applyFill="1" applyBorder="1" applyAlignment="1">
      <alignment horizontal="center" vertical="center"/>
    </xf>
    <xf numFmtId="167" fontId="43" fillId="6" borderId="1" xfId="0" applyNumberFormat="1" applyFont="1" applyFill="1" applyBorder="1" applyAlignment="1">
      <alignment horizontal="center" vertical="center"/>
    </xf>
    <xf numFmtId="0" fontId="42" fillId="7" borderId="1" xfId="0" applyFont="1" applyFill="1" applyBorder="1" applyAlignment="1">
      <alignment horizontal="center" vertical="top"/>
    </xf>
    <xf numFmtId="0" fontId="43" fillId="6" borderId="1" xfId="0" applyFont="1" applyFill="1" applyBorder="1" applyAlignment="1">
      <alignment horizontal="center" vertical="center" wrapText="1"/>
    </xf>
    <xf numFmtId="14" fontId="43" fillId="6" borderId="1" xfId="0" applyNumberFormat="1" applyFont="1" applyFill="1" applyBorder="1" applyAlignment="1">
      <alignment horizontal="center" vertical="center"/>
    </xf>
    <xf numFmtId="0" fontId="42" fillId="7" borderId="1" xfId="0" applyFont="1" applyFill="1" applyBorder="1" applyAlignment="1">
      <alignment horizontal="center" vertical="center"/>
    </xf>
    <xf numFmtId="0" fontId="43" fillId="6" borderId="1" xfId="0" applyFont="1" applyFill="1" applyBorder="1" applyAlignment="1">
      <alignment horizontal="center" vertical="top" wrapText="1"/>
    </xf>
    <xf numFmtId="14" fontId="43" fillId="6" borderId="4" xfId="0" applyNumberFormat="1" applyFont="1" applyFill="1" applyBorder="1" applyAlignment="1">
      <alignment horizontal="center" vertical="center"/>
    </xf>
    <xf numFmtId="164" fontId="43" fillId="6" borderId="5" xfId="0" applyNumberFormat="1" applyFont="1" applyFill="1" applyBorder="1" applyAlignment="1">
      <alignment horizontal="center" vertical="center"/>
    </xf>
    <xf numFmtId="0" fontId="43" fillId="6" borderId="5" xfId="0" applyFont="1" applyFill="1" applyBorder="1" applyAlignment="1">
      <alignment horizontal="center" vertical="center"/>
    </xf>
    <xf numFmtId="167" fontId="43" fillId="6" borderId="5" xfId="0" applyNumberFormat="1" applyFont="1" applyFill="1" applyBorder="1" applyAlignment="1">
      <alignment horizontal="center" vertical="center"/>
    </xf>
    <xf numFmtId="0" fontId="42" fillId="7" borderId="5" xfId="0" applyFont="1" applyFill="1" applyBorder="1" applyAlignment="1">
      <alignment horizontal="center" vertical="top"/>
    </xf>
    <xf numFmtId="164" fontId="43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43" fillId="6" borderId="3" xfId="0" applyNumberFormat="1" applyFont="1" applyFill="1" applyBorder="1" applyAlignment="1">
      <alignment horizontal="center" vertical="center"/>
    </xf>
    <xf numFmtId="167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/>
    </xf>
    <xf numFmtId="164" fontId="43" fillId="6" borderId="2" xfId="0" applyNumberFormat="1" applyFont="1" applyFill="1" applyBorder="1" applyAlignment="1">
      <alignment horizontal="center" vertical="center"/>
    </xf>
    <xf numFmtId="0" fontId="43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/>
    </xf>
    <xf numFmtId="49" fontId="43" fillId="6" borderId="5" xfId="0" applyNumberFormat="1" applyFont="1" applyFill="1" applyBorder="1" applyAlignment="1">
      <alignment horizontal="center" vertical="center"/>
    </xf>
    <xf numFmtId="0" fontId="43" fillId="6" borderId="5" xfId="0" applyFont="1" applyFill="1" applyBorder="1" applyAlignment="1">
      <alignment horizontal="center" vertical="center"/>
    </xf>
    <xf numFmtId="0" fontId="42" fillId="7" borderId="5" xfId="0" applyFont="1" applyFill="1" applyBorder="1" applyAlignment="1">
      <alignment horizontal="center" vertical="top"/>
    </xf>
    <xf numFmtId="164" fontId="43" fillId="6" borderId="5" xfId="0" applyNumberFormat="1" applyFont="1" applyFill="1" applyBorder="1" applyAlignment="1">
      <alignment horizontal="center" vertical="center"/>
    </xf>
    <xf numFmtId="167" fontId="43" fillId="6" borderId="5" xfId="0" applyNumberFormat="1" applyFont="1" applyFill="1" applyBorder="1" applyAlignment="1">
      <alignment horizontal="center" vertical="center"/>
    </xf>
    <xf numFmtId="14" fontId="43" fillId="6" borderId="5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14" fontId="43" fillId="6" borderId="3" xfId="0" applyNumberFormat="1" applyFont="1" applyFill="1" applyBorder="1" applyAlignment="1">
      <alignment horizontal="center" vertical="center"/>
    </xf>
    <xf numFmtId="0" fontId="43" fillId="7" borderId="3" xfId="0" applyFont="1" applyFill="1" applyBorder="1" applyAlignment="1">
      <alignment horizontal="center" vertical="center"/>
    </xf>
    <xf numFmtId="49" fontId="43" fillId="6" borderId="3" xfId="0" applyNumberFormat="1" applyFont="1" applyFill="1" applyBorder="1" applyAlignment="1">
      <alignment horizontal="center" vertical="center"/>
    </xf>
    <xf numFmtId="164" fontId="43" fillId="6" borderId="15" xfId="0" applyNumberFormat="1" applyFont="1" applyFill="1" applyBorder="1" applyAlignment="1">
      <alignment horizontal="center" vertical="center"/>
    </xf>
    <xf numFmtId="164" fontId="43" fillId="6" borderId="17" xfId="0" applyNumberFormat="1" applyFont="1" applyFill="1" applyBorder="1" applyAlignment="1">
      <alignment horizontal="center" vertical="center"/>
    </xf>
    <xf numFmtId="168" fontId="43" fillId="6" borderId="3" xfId="0" applyNumberFormat="1" applyFont="1" applyFill="1" applyBorder="1" applyAlignment="1">
      <alignment horizontal="center" vertical="center"/>
    </xf>
    <xf numFmtId="0" fontId="43" fillId="6" borderId="3" xfId="0" applyNumberFormat="1" applyFont="1" applyFill="1" applyBorder="1" applyAlignment="1">
      <alignment horizontal="center" vertical="center"/>
    </xf>
    <xf numFmtId="167" fontId="43" fillId="6" borderId="15" xfId="0" applyNumberFormat="1" applyFont="1" applyFill="1" applyBorder="1" applyAlignment="1">
      <alignment horizontal="center" vertical="center"/>
    </xf>
    <xf numFmtId="49" fontId="43" fillId="6" borderId="5" xfId="0" applyNumberFormat="1" applyFont="1" applyFill="1" applyBorder="1" applyAlignment="1">
      <alignment horizontal="center" vertical="center"/>
    </xf>
    <xf numFmtId="49" fontId="43" fillId="6" borderId="3" xfId="0" applyNumberFormat="1" applyFont="1" applyFill="1" applyBorder="1" applyAlignment="1">
      <alignment horizontal="center" vertical="center"/>
    </xf>
    <xf numFmtId="49" fontId="43" fillId="6" borderId="3" xfId="0" applyNumberFormat="1" applyFont="1" applyFill="1" applyBorder="1" applyAlignment="1">
      <alignment horizontal="center" vertical="center"/>
    </xf>
    <xf numFmtId="0" fontId="43" fillId="3" borderId="2" xfId="0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49" fontId="43" fillId="6" borderId="3" xfId="0" applyNumberFormat="1" applyFont="1" applyFill="1" applyBorder="1" applyAlignment="1">
      <alignment horizontal="center" vertical="center"/>
    </xf>
    <xf numFmtId="14" fontId="43" fillId="6" borderId="1" xfId="0" applyNumberFormat="1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49" fontId="43" fillId="6" borderId="3" xfId="0" applyNumberFormat="1" applyFont="1" applyFill="1" applyBorder="1" applyAlignment="1">
      <alignment horizontal="center" vertical="center"/>
    </xf>
    <xf numFmtId="44" fontId="43" fillId="6" borderId="1" xfId="7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49" fontId="43" fillId="6" borderId="5" xfId="0" applyNumberFormat="1" applyFont="1" applyFill="1" applyBorder="1" applyAlignment="1">
      <alignment horizontal="center" vertical="center"/>
    </xf>
    <xf numFmtId="0" fontId="43" fillId="3" borderId="5" xfId="0" applyFont="1" applyFill="1" applyBorder="1" applyAlignment="1">
      <alignment horizontal="center" vertical="center" wrapText="1"/>
    </xf>
    <xf numFmtId="0" fontId="43" fillId="6" borderId="5" xfId="0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3" borderId="3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14" fontId="43" fillId="6" borderId="5" xfId="0" applyNumberFormat="1" applyFont="1" applyFill="1" applyBorder="1" applyAlignment="1">
      <alignment horizontal="center" vertical="center" wrapText="1"/>
    </xf>
    <xf numFmtId="44" fontId="43" fillId="6" borderId="5" xfId="7" applyFont="1" applyFill="1" applyBorder="1" applyAlignment="1">
      <alignment horizontal="center" vertical="center" wrapText="1"/>
    </xf>
    <xf numFmtId="14" fontId="43" fillId="6" borderId="3" xfId="0" applyNumberFormat="1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0" fontId="43" fillId="6" borderId="19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165" fontId="36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31" fillId="0" borderId="3" xfId="0" applyFont="1" applyBorder="1" applyAlignment="1">
      <alignment horizontal="center" vertical="center"/>
    </xf>
    <xf numFmtId="49" fontId="43" fillId="6" borderId="3" xfId="0" applyNumberFormat="1" applyFont="1" applyFill="1" applyBorder="1" applyAlignment="1">
      <alignment horizontal="center" vertical="center"/>
    </xf>
    <xf numFmtId="0" fontId="43" fillId="3" borderId="3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3" borderId="3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0" fontId="43" fillId="6" borderId="19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3" borderId="3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29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9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49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49" fontId="43" fillId="6" borderId="3" xfId="0" applyNumberFormat="1" applyFont="1" applyFill="1" applyBorder="1" applyAlignment="1">
      <alignment horizontal="center" vertical="center"/>
    </xf>
    <xf numFmtId="0" fontId="43" fillId="3" borderId="3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3" borderId="3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29" fillId="0" borderId="0" xfId="8" applyAlignment="1">
      <alignment horizontal="center" vertical="center"/>
    </xf>
    <xf numFmtId="49" fontId="43" fillId="6" borderId="3" xfId="0" applyNumberFormat="1" applyFont="1" applyFill="1" applyBorder="1" applyAlignment="1">
      <alignment horizontal="center" vertical="center"/>
    </xf>
    <xf numFmtId="0" fontId="43" fillId="3" borderId="3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43" fillId="6" borderId="13" xfId="0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169" fontId="31" fillId="0" borderId="3" xfId="0" applyNumberFormat="1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49" fontId="43" fillId="6" borderId="13" xfId="0" applyNumberFormat="1" applyFont="1" applyFill="1" applyBorder="1" applyAlignment="1">
      <alignment horizontal="center" vertical="center"/>
    </xf>
    <xf numFmtId="0" fontId="43" fillId="3" borderId="13" xfId="0" applyFont="1" applyFill="1" applyBorder="1" applyAlignment="1">
      <alignment horizontal="center" vertical="center" wrapText="1"/>
    </xf>
    <xf numFmtId="14" fontId="43" fillId="6" borderId="13" xfId="0" applyNumberFormat="1" applyFont="1" applyFill="1" applyBorder="1" applyAlignment="1">
      <alignment horizontal="center" vertical="center" wrapText="1"/>
    </xf>
    <xf numFmtId="169" fontId="31" fillId="0" borderId="13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44" fontId="0" fillId="0" borderId="0" xfId="0" applyNumberFormat="1"/>
    <xf numFmtId="49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0" fontId="43" fillId="6" borderId="1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43" fillId="6" borderId="13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0" fontId="43" fillId="6" borderId="1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3" fillId="6" borderId="13" xfId="0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0" fontId="43" fillId="6" borderId="1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43" fillId="6" borderId="13" xfId="0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0" fontId="43" fillId="6" borderId="1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49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49" fontId="43" fillId="6" borderId="3" xfId="0" applyNumberFormat="1" applyFont="1" applyFill="1" applyBorder="1" applyAlignment="1">
      <alignment horizontal="center" vertical="center"/>
    </xf>
    <xf numFmtId="0" fontId="43" fillId="3" borderId="3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49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43" fillId="6" borderId="3" xfId="0" applyFont="1" applyFill="1" applyBorder="1" applyAlignment="1">
      <alignment horizontal="center" vertical="center" wrapText="1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43" fillId="6" borderId="1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3" fillId="6" borderId="3" xfId="0" applyFont="1" applyFill="1" applyBorder="1" applyAlignment="1">
      <alignment horizontal="center" vertical="center" wrapText="1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43" fillId="6" borderId="3" xfId="0" applyNumberFormat="1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 wrapText="1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4" fontId="0" fillId="0" borderId="0" xfId="0" applyNumberFormat="1"/>
    <xf numFmtId="0" fontId="15" fillId="0" borderId="3" xfId="0" applyFont="1" applyBorder="1" applyAlignment="1">
      <alignment horizontal="center" vertical="center" wrapText="1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11" fillId="0" borderId="3" xfId="0" applyFont="1" applyBorder="1" applyAlignment="1">
      <alignment horizontal="center" vertical="center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4" fontId="0" fillId="0" borderId="3" xfId="0" applyNumberFormat="1" applyBorder="1"/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3" fillId="6" borderId="3" xfId="0" applyNumberFormat="1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6" fillId="0" borderId="1" xfId="0" applyFont="1" applyFill="1" applyBorder="1" applyAlignment="1"/>
    <xf numFmtId="0" fontId="38" fillId="4" borderId="1" xfId="0" applyFont="1" applyFill="1" applyBorder="1" applyAlignment="1">
      <alignment horizontal="center"/>
    </xf>
    <xf numFmtId="0" fontId="38" fillId="5" borderId="1" xfId="0" applyFont="1" applyFill="1" applyBorder="1" applyAlignment="1">
      <alignment horizontal="center"/>
    </xf>
    <xf numFmtId="164" fontId="38" fillId="5" borderId="1" xfId="0" applyNumberFormat="1" applyFont="1" applyFill="1" applyBorder="1" applyAlignment="1">
      <alignment horizontal="center"/>
    </xf>
    <xf numFmtId="164" fontId="43" fillId="6" borderId="3" xfId="0" applyNumberFormat="1" applyFont="1" applyFill="1" applyBorder="1" applyAlignment="1">
      <alignment horizontal="center" vertical="center"/>
    </xf>
    <xf numFmtId="164" fontId="43" fillId="6" borderId="9" xfId="0" applyNumberFormat="1" applyFont="1" applyFill="1" applyBorder="1" applyAlignment="1">
      <alignment horizontal="center" vertical="center"/>
    </xf>
    <xf numFmtId="164" fontId="43" fillId="6" borderId="10" xfId="0" applyNumberFormat="1" applyFont="1" applyFill="1" applyBorder="1" applyAlignment="1">
      <alignment horizontal="center" vertical="center"/>
    </xf>
    <xf numFmtId="0" fontId="42" fillId="7" borderId="3" xfId="0" applyFont="1" applyFill="1" applyBorder="1" applyAlignment="1">
      <alignment horizontal="center" vertical="top"/>
    </xf>
    <xf numFmtId="0" fontId="43" fillId="6" borderId="7" xfId="0" applyFont="1" applyFill="1" applyBorder="1" applyAlignment="1">
      <alignment horizontal="center" vertical="center"/>
    </xf>
    <xf numFmtId="0" fontId="43" fillId="6" borderId="8" xfId="0" applyFont="1" applyFill="1" applyBorder="1" applyAlignment="1">
      <alignment horizontal="center" vertical="center"/>
    </xf>
    <xf numFmtId="0" fontId="43" fillId="6" borderId="3" xfId="0" applyFont="1" applyFill="1" applyBorder="1" applyAlignment="1">
      <alignment horizontal="center" vertical="center"/>
    </xf>
    <xf numFmtId="167" fontId="43" fillId="6" borderId="3" xfId="0" applyNumberFormat="1" applyFont="1" applyFill="1" applyBorder="1" applyAlignment="1">
      <alignment horizontal="center" vertical="center"/>
    </xf>
    <xf numFmtId="49" fontId="43" fillId="6" borderId="5" xfId="0" applyNumberFormat="1" applyFont="1" applyFill="1" applyBorder="1" applyAlignment="1">
      <alignment horizontal="center" vertical="center"/>
    </xf>
    <xf numFmtId="49" fontId="43" fillId="6" borderId="6" xfId="0" applyNumberFormat="1" applyFont="1" applyFill="1" applyBorder="1" applyAlignment="1">
      <alignment horizontal="center" vertical="center"/>
    </xf>
    <xf numFmtId="0" fontId="43" fillId="3" borderId="5" xfId="0" applyFont="1" applyFill="1" applyBorder="1" applyAlignment="1">
      <alignment horizontal="center" vertical="center" wrapText="1"/>
    </xf>
    <xf numFmtId="0" fontId="43" fillId="3" borderId="6" xfId="0" applyFont="1" applyFill="1" applyBorder="1" applyAlignment="1">
      <alignment horizontal="center" vertical="center" wrapText="1"/>
    </xf>
    <xf numFmtId="0" fontId="43" fillId="6" borderId="5" xfId="0" applyFont="1" applyFill="1" applyBorder="1" applyAlignment="1">
      <alignment horizontal="center" vertical="center" wrapText="1"/>
    </xf>
    <xf numFmtId="0" fontId="43" fillId="6" borderId="6" xfId="0" applyFont="1" applyFill="1" applyBorder="1" applyAlignment="1">
      <alignment horizontal="center" vertical="center" wrapText="1"/>
    </xf>
    <xf numFmtId="0" fontId="43" fillId="6" borderId="5" xfId="0" applyFont="1" applyFill="1" applyBorder="1" applyAlignment="1">
      <alignment horizontal="center" vertical="center"/>
    </xf>
    <xf numFmtId="0" fontId="43" fillId="6" borderId="6" xfId="0" applyFont="1" applyFill="1" applyBorder="1" applyAlignment="1">
      <alignment horizontal="center" vertical="center"/>
    </xf>
    <xf numFmtId="0" fontId="42" fillId="7" borderId="5" xfId="0" applyFont="1" applyFill="1" applyBorder="1" applyAlignment="1">
      <alignment horizontal="center" vertical="top"/>
    </xf>
    <xf numFmtId="0" fontId="42" fillId="7" borderId="6" xfId="0" applyFont="1" applyFill="1" applyBorder="1" applyAlignment="1">
      <alignment horizontal="center" vertical="top"/>
    </xf>
    <xf numFmtId="164" fontId="43" fillId="6" borderId="5" xfId="0" applyNumberFormat="1" applyFont="1" applyFill="1" applyBorder="1" applyAlignment="1">
      <alignment horizontal="center" vertical="center"/>
    </xf>
    <xf numFmtId="164" fontId="43" fillId="6" borderId="6" xfId="0" applyNumberFormat="1" applyFont="1" applyFill="1" applyBorder="1" applyAlignment="1">
      <alignment horizontal="center" vertical="center"/>
    </xf>
    <xf numFmtId="167" fontId="43" fillId="6" borderId="5" xfId="0" applyNumberFormat="1" applyFont="1" applyFill="1" applyBorder="1" applyAlignment="1">
      <alignment horizontal="center" vertical="center"/>
    </xf>
    <xf numFmtId="167" fontId="43" fillId="6" borderId="6" xfId="0" applyNumberFormat="1" applyFont="1" applyFill="1" applyBorder="1" applyAlignment="1">
      <alignment horizontal="center" vertical="center"/>
    </xf>
    <xf numFmtId="14" fontId="43" fillId="6" borderId="5" xfId="0" applyNumberFormat="1" applyFont="1" applyFill="1" applyBorder="1" applyAlignment="1">
      <alignment horizontal="center" vertical="center"/>
    </xf>
    <xf numFmtId="14" fontId="43" fillId="6" borderId="6" xfId="0" applyNumberFormat="1" applyFont="1" applyFill="1" applyBorder="1" applyAlignment="1">
      <alignment horizontal="center" vertical="center"/>
    </xf>
    <xf numFmtId="14" fontId="43" fillId="6" borderId="3" xfId="0" applyNumberFormat="1" applyFont="1" applyFill="1" applyBorder="1" applyAlignment="1">
      <alignment horizontal="center" vertical="center"/>
    </xf>
    <xf numFmtId="0" fontId="43" fillId="6" borderId="13" xfId="0" applyFont="1" applyFill="1" applyBorder="1" applyAlignment="1">
      <alignment horizontal="center" vertical="center" wrapText="1"/>
    </xf>
    <xf numFmtId="0" fontId="43" fillId="6" borderId="14" xfId="0" applyFont="1" applyFill="1" applyBorder="1" applyAlignment="1">
      <alignment horizontal="center" vertical="center" wrapText="1"/>
    </xf>
    <xf numFmtId="168" fontId="43" fillId="6" borderId="3" xfId="0" applyNumberFormat="1" applyFont="1" applyFill="1" applyBorder="1" applyAlignment="1">
      <alignment horizontal="center" vertical="center"/>
    </xf>
    <xf numFmtId="0" fontId="43" fillId="6" borderId="3" xfId="0" applyNumberFormat="1" applyFont="1" applyFill="1" applyBorder="1" applyAlignment="1">
      <alignment horizontal="center" vertical="center"/>
    </xf>
    <xf numFmtId="167" fontId="43" fillId="6" borderId="15" xfId="0" applyNumberFormat="1" applyFont="1" applyFill="1" applyBorder="1" applyAlignment="1">
      <alignment horizontal="center" vertical="center"/>
    </xf>
    <xf numFmtId="167" fontId="43" fillId="6" borderId="16" xfId="0" applyNumberFormat="1" applyFont="1" applyFill="1" applyBorder="1" applyAlignment="1">
      <alignment horizontal="center" vertical="center"/>
    </xf>
    <xf numFmtId="164" fontId="43" fillId="6" borderId="12" xfId="0" applyNumberFormat="1" applyFont="1" applyFill="1" applyBorder="1" applyAlignment="1">
      <alignment horizontal="center" vertical="center"/>
    </xf>
    <xf numFmtId="164" fontId="43" fillId="6" borderId="17" xfId="0" applyNumberFormat="1" applyFont="1" applyFill="1" applyBorder="1" applyAlignment="1">
      <alignment horizontal="center" vertical="center"/>
    </xf>
    <xf numFmtId="164" fontId="43" fillId="6" borderId="18" xfId="0" applyNumberFormat="1" applyFont="1" applyFill="1" applyBorder="1" applyAlignment="1">
      <alignment horizontal="center" vertical="center"/>
    </xf>
    <xf numFmtId="164" fontId="43" fillId="6" borderId="15" xfId="0" applyNumberFormat="1" applyFont="1" applyFill="1" applyBorder="1" applyAlignment="1">
      <alignment horizontal="center" vertical="center"/>
    </xf>
    <xf numFmtId="164" fontId="43" fillId="6" borderId="16" xfId="0" applyNumberFormat="1" applyFont="1" applyFill="1" applyBorder="1" applyAlignment="1">
      <alignment horizontal="center" vertical="center"/>
    </xf>
    <xf numFmtId="49" fontId="43" fillId="6" borderId="3" xfId="0" applyNumberFormat="1" applyFont="1" applyFill="1" applyBorder="1" applyAlignment="1">
      <alignment horizontal="center" vertical="center"/>
    </xf>
    <xf numFmtId="0" fontId="43" fillId="3" borderId="3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0" fontId="43" fillId="7" borderId="3" xfId="0" applyFont="1" applyFill="1" applyBorder="1" applyAlignment="1">
      <alignment horizontal="center" vertical="center"/>
    </xf>
    <xf numFmtId="44" fontId="43" fillId="6" borderId="3" xfId="7" applyFont="1" applyFill="1" applyBorder="1" applyAlignment="1">
      <alignment horizontal="center" vertical="center" wrapText="1"/>
    </xf>
    <xf numFmtId="0" fontId="43" fillId="6" borderId="19" xfId="0" applyFont="1" applyFill="1" applyBorder="1" applyAlignment="1">
      <alignment horizontal="center" vertical="center" wrapText="1"/>
    </xf>
    <xf numFmtId="44" fontId="43" fillId="6" borderId="15" xfId="7" applyFont="1" applyFill="1" applyBorder="1" applyAlignment="1">
      <alignment horizontal="center" vertical="center" wrapText="1"/>
    </xf>
    <xf numFmtId="44" fontId="43" fillId="6" borderId="16" xfId="7" applyFont="1" applyFill="1" applyBorder="1" applyAlignment="1">
      <alignment horizontal="center" vertical="center" wrapText="1"/>
    </xf>
    <xf numFmtId="44" fontId="43" fillId="6" borderId="20" xfId="7" applyFont="1" applyFill="1" applyBorder="1" applyAlignment="1">
      <alignment horizontal="center" vertical="center" wrapText="1"/>
    </xf>
    <xf numFmtId="44" fontId="43" fillId="6" borderId="5" xfId="7" applyFont="1" applyFill="1" applyBorder="1" applyAlignment="1">
      <alignment horizontal="center" vertical="center" wrapText="1"/>
    </xf>
    <xf numFmtId="44" fontId="43" fillId="6" borderId="12" xfId="7" applyFont="1" applyFill="1" applyBorder="1" applyAlignment="1">
      <alignment horizontal="center" vertical="center" wrapText="1"/>
    </xf>
    <xf numFmtId="44" fontId="43" fillId="6" borderId="6" xfId="7" applyFont="1" applyFill="1" applyBorder="1" applyAlignment="1">
      <alignment horizontal="center" vertical="center" wrapText="1"/>
    </xf>
    <xf numFmtId="44" fontId="43" fillId="6" borderId="17" xfId="7" applyFont="1" applyFill="1" applyBorder="1" applyAlignment="1">
      <alignment horizontal="center" vertical="center" wrapText="1"/>
    </xf>
    <xf numFmtId="44" fontId="43" fillId="6" borderId="18" xfId="7" applyFont="1" applyFill="1" applyBorder="1" applyAlignment="1">
      <alignment horizontal="center" vertical="center" wrapText="1"/>
    </xf>
    <xf numFmtId="44" fontId="43" fillId="6" borderId="21" xfId="7" applyFont="1" applyFill="1" applyBorder="1" applyAlignment="1">
      <alignment horizontal="center" vertical="center" wrapText="1"/>
    </xf>
    <xf numFmtId="0" fontId="38" fillId="4" borderId="4" xfId="0" applyFont="1" applyFill="1" applyBorder="1" applyAlignment="1">
      <alignment horizontal="center"/>
    </xf>
    <xf numFmtId="0" fontId="38" fillId="4" borderId="7" xfId="0" applyFont="1" applyFill="1" applyBorder="1" applyAlignment="1">
      <alignment horizontal="center"/>
    </xf>
    <xf numFmtId="0" fontId="38" fillId="5" borderId="5" xfId="0" applyFont="1" applyFill="1" applyBorder="1" applyAlignment="1">
      <alignment horizontal="center"/>
    </xf>
    <xf numFmtId="164" fontId="38" fillId="5" borderId="5" xfId="0" applyNumberFormat="1" applyFont="1" applyFill="1" applyBorder="1" applyAlignment="1">
      <alignment horizontal="center"/>
    </xf>
    <xf numFmtId="0" fontId="38" fillId="4" borderId="5" xfId="0" applyFont="1" applyFill="1" applyBorder="1" applyAlignment="1">
      <alignment horizontal="center"/>
    </xf>
    <xf numFmtId="44" fontId="43" fillId="6" borderId="13" xfId="7" applyFont="1" applyFill="1" applyBorder="1" applyAlignment="1">
      <alignment horizontal="center" vertical="center" wrapText="1"/>
    </xf>
    <xf numFmtId="44" fontId="43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43" fillId="6" borderId="19" xfId="7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3" fillId="6" borderId="13" xfId="0" applyNumberFormat="1" applyFont="1" applyFill="1" applyBorder="1" applyAlignment="1">
      <alignment horizontal="center" vertical="center"/>
    </xf>
    <xf numFmtId="0" fontId="43" fillId="6" borderId="19" xfId="0" applyNumberFormat="1" applyFont="1" applyFill="1" applyBorder="1" applyAlignment="1">
      <alignment horizontal="center" vertical="center"/>
    </xf>
    <xf numFmtId="0" fontId="43" fillId="6" borderId="14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42917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43252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43282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345" t="s">
        <v>279</v>
      </c>
      <c r="B22" s="345" t="s">
        <v>279</v>
      </c>
      <c r="C22" s="347" t="s">
        <v>75</v>
      </c>
      <c r="D22" s="341" t="s">
        <v>104</v>
      </c>
      <c r="E22" s="343" t="s">
        <v>88</v>
      </c>
      <c r="F22" s="345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37">
        <v>0</v>
      </c>
      <c r="R22" s="333">
        <v>0</v>
      </c>
      <c r="S22" s="339">
        <v>0</v>
      </c>
      <c r="T22" s="333">
        <v>0</v>
      </c>
      <c r="U22" s="340">
        <f t="shared" si="1"/>
        <v>0</v>
      </c>
      <c r="V22" s="333">
        <f>P22+P23</f>
        <v>1406.06</v>
      </c>
      <c r="W22" s="334">
        <f t="shared" si="3"/>
        <v>1406.06</v>
      </c>
      <c r="X22" s="336"/>
    </row>
    <row r="23" spans="1:24" ht="38.25" customHeight="1" x14ac:dyDescent="0.2">
      <c r="A23" s="346"/>
      <c r="B23" s="346"/>
      <c r="C23" s="348"/>
      <c r="D23" s="342"/>
      <c r="E23" s="344"/>
      <c r="F23" s="346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38"/>
      <c r="R23" s="333"/>
      <c r="S23" s="339"/>
      <c r="T23" s="333"/>
      <c r="U23" s="340"/>
      <c r="V23" s="333"/>
      <c r="W23" s="335"/>
      <c r="X23" s="336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43313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43344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345" t="s">
        <v>250</v>
      </c>
      <c r="B16" s="345" t="s">
        <v>250</v>
      </c>
      <c r="C16" s="347" t="s">
        <v>319</v>
      </c>
      <c r="D16" s="341" t="s">
        <v>324</v>
      </c>
      <c r="E16" s="343" t="s">
        <v>87</v>
      </c>
      <c r="F16" s="345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55">
        <v>43356</v>
      </c>
      <c r="M16" s="355">
        <v>43357</v>
      </c>
      <c r="N16" s="31">
        <f>1465.14/2</f>
        <v>732.57</v>
      </c>
      <c r="O16" s="31"/>
      <c r="P16" s="351">
        <f>N16+O17</f>
        <v>1465.14</v>
      </c>
      <c r="Q16" s="347">
        <v>2</v>
      </c>
      <c r="R16" s="351">
        <v>120</v>
      </c>
      <c r="S16" s="347">
        <v>0</v>
      </c>
      <c r="T16" s="351">
        <v>0</v>
      </c>
      <c r="U16" s="353">
        <f t="shared" si="1"/>
        <v>240</v>
      </c>
      <c r="V16" s="351">
        <f t="shared" si="2"/>
        <v>1705.14</v>
      </c>
      <c r="W16" s="351">
        <f t="shared" si="3"/>
        <v>1705.14</v>
      </c>
      <c r="X16" s="349"/>
    </row>
    <row r="17" spans="1:24" ht="14.25" x14ac:dyDescent="0.2">
      <c r="A17" s="346"/>
      <c r="B17" s="346"/>
      <c r="C17" s="348"/>
      <c r="D17" s="342"/>
      <c r="E17" s="344"/>
      <c r="F17" s="346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56"/>
      <c r="M17" s="356"/>
      <c r="N17" s="31"/>
      <c r="O17" s="31">
        <f>1465.14/2</f>
        <v>732.57</v>
      </c>
      <c r="P17" s="352"/>
      <c r="Q17" s="348"/>
      <c r="R17" s="352"/>
      <c r="S17" s="348"/>
      <c r="T17" s="352"/>
      <c r="U17" s="354"/>
      <c r="V17" s="352"/>
      <c r="W17" s="352"/>
      <c r="X17" s="350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43374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43405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358" t="s">
        <v>372</v>
      </c>
      <c r="B21" s="358" t="s">
        <v>372</v>
      </c>
      <c r="C21" s="339" t="s">
        <v>75</v>
      </c>
      <c r="D21" s="369" t="s">
        <v>74</v>
      </c>
      <c r="E21" s="370" t="s">
        <v>88</v>
      </c>
      <c r="F21" s="371" t="s">
        <v>374</v>
      </c>
      <c r="G21" s="372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357">
        <v>43433</v>
      </c>
      <c r="M21" s="357">
        <v>43434</v>
      </c>
      <c r="N21" s="367">
        <f>1395.23/2</f>
        <v>697.61500000000001</v>
      </c>
      <c r="O21" s="365">
        <f>1395.23/2</f>
        <v>697.61500000000001</v>
      </c>
      <c r="P21" s="360">
        <f t="shared" si="0"/>
        <v>697.61500000000001</v>
      </c>
      <c r="Q21" s="361">
        <v>0</v>
      </c>
      <c r="R21" s="360">
        <v>0</v>
      </c>
      <c r="S21" s="361">
        <v>0</v>
      </c>
      <c r="T21" s="360">
        <v>0</v>
      </c>
      <c r="U21" s="362">
        <f t="shared" si="1"/>
        <v>0</v>
      </c>
      <c r="V21" s="351">
        <f t="shared" si="2"/>
        <v>697.61500000000001</v>
      </c>
      <c r="W21" s="365">
        <f t="shared" si="3"/>
        <v>697.61500000000001</v>
      </c>
      <c r="X21" s="357"/>
    </row>
    <row r="22" spans="1:24" ht="26.25" customHeight="1" x14ac:dyDescent="0.2">
      <c r="A22" s="359"/>
      <c r="B22" s="359"/>
      <c r="C22" s="339"/>
      <c r="D22" s="369"/>
      <c r="E22" s="370"/>
      <c r="F22" s="371"/>
      <c r="G22" s="372"/>
      <c r="H22" s="52" t="s">
        <v>38</v>
      </c>
      <c r="I22" s="51" t="s">
        <v>39</v>
      </c>
      <c r="J22" s="52" t="s">
        <v>111</v>
      </c>
      <c r="K22" s="51" t="s">
        <v>112</v>
      </c>
      <c r="L22" s="357"/>
      <c r="M22" s="357"/>
      <c r="N22" s="368"/>
      <c r="O22" s="366"/>
      <c r="P22" s="360">
        <f t="shared" si="0"/>
        <v>0</v>
      </c>
      <c r="Q22" s="361"/>
      <c r="R22" s="360"/>
      <c r="S22" s="361"/>
      <c r="T22" s="360"/>
      <c r="U22" s="363"/>
      <c r="V22" s="364"/>
      <c r="W22" s="366"/>
      <c r="X22" s="357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43435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43466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43497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43525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42948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43556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43586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43617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358" t="s">
        <v>250</v>
      </c>
      <c r="B21" s="358" t="s">
        <v>250</v>
      </c>
      <c r="C21" s="371" t="s">
        <v>319</v>
      </c>
      <c r="D21" s="369"/>
      <c r="E21" s="370"/>
      <c r="F21" s="371" t="s">
        <v>458</v>
      </c>
      <c r="G21" s="371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373">
        <f>3129.35/2</f>
        <v>1564.675</v>
      </c>
      <c r="O21" s="373">
        <f>3129.35/2</f>
        <v>1564.675</v>
      </c>
      <c r="P21" s="373">
        <v>1925.28</v>
      </c>
      <c r="Q21" s="371">
        <v>2</v>
      </c>
      <c r="R21" s="373">
        <v>120</v>
      </c>
      <c r="S21" s="373">
        <v>0</v>
      </c>
      <c r="T21" s="373">
        <v>0</v>
      </c>
      <c r="U21" s="375">
        <f t="shared" ref="U21" si="4">(Q21*R21)+(S21*T21)</f>
        <v>240</v>
      </c>
      <c r="V21" s="378">
        <f t="shared" ref="V21" si="5">U21+P21</f>
        <v>2165.2799999999997</v>
      </c>
      <c r="W21" s="381">
        <f t="shared" si="3"/>
        <v>2165.2799999999997</v>
      </c>
      <c r="X21" s="373"/>
    </row>
    <row r="22" spans="1:24" ht="14.25" x14ac:dyDescent="0.2">
      <c r="A22" s="374"/>
      <c r="B22" s="374"/>
      <c r="C22" s="371"/>
      <c r="D22" s="369"/>
      <c r="E22" s="370"/>
      <c r="F22" s="371"/>
      <c r="G22" s="371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373"/>
      <c r="O22" s="373"/>
      <c r="P22" s="373"/>
      <c r="Q22" s="371"/>
      <c r="R22" s="373"/>
      <c r="S22" s="373"/>
      <c r="T22" s="373"/>
      <c r="U22" s="376"/>
      <c r="V22" s="379"/>
      <c r="W22" s="382"/>
      <c r="X22" s="373"/>
    </row>
    <row r="23" spans="1:24" ht="15" customHeight="1" x14ac:dyDescent="0.2">
      <c r="A23" s="359"/>
      <c r="B23" s="359"/>
      <c r="C23" s="371"/>
      <c r="D23" s="369"/>
      <c r="E23" s="370"/>
      <c r="F23" s="371"/>
      <c r="G23" s="371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373"/>
      <c r="O23" s="373"/>
      <c r="P23" s="373"/>
      <c r="Q23" s="371"/>
      <c r="R23" s="373"/>
      <c r="S23" s="373"/>
      <c r="T23" s="373"/>
      <c r="U23" s="377"/>
      <c r="V23" s="380"/>
      <c r="W23" s="383"/>
      <c r="X23" s="373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94">
        <v>43586</v>
      </c>
    </row>
    <row r="6" spans="1:47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47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84" t="s">
        <v>9</v>
      </c>
    </row>
    <row r="8" spans="1:47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8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8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94">
        <v>43586</v>
      </c>
    </row>
    <row r="6" spans="1:47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47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84" t="s">
        <v>9</v>
      </c>
    </row>
    <row r="8" spans="1:47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8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8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94">
        <v>43586</v>
      </c>
    </row>
    <row r="6" spans="1:47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47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84" t="s">
        <v>9</v>
      </c>
    </row>
    <row r="8" spans="1:47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8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8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94">
        <v>43586</v>
      </c>
    </row>
    <row r="6" spans="1:46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46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84" t="s">
        <v>9</v>
      </c>
    </row>
    <row r="8" spans="1:46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8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8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94">
        <v>43586</v>
      </c>
    </row>
    <row r="6" spans="1:46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46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84" t="s">
        <v>9</v>
      </c>
    </row>
    <row r="8" spans="1:46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8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8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94">
        <v>43586</v>
      </c>
    </row>
    <row r="6" spans="1:46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46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84" t="s">
        <v>9</v>
      </c>
    </row>
    <row r="8" spans="1:46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8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8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0"/>
      <c r="X4" s="385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42979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0"/>
      <c r="X4" s="385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0"/>
      <c r="X4" s="385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0"/>
      <c r="X4" s="385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0"/>
      <c r="X4" s="385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0"/>
      <c r="X4" s="385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0"/>
      <c r="X4" s="385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0"/>
      <c r="X4" s="385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0"/>
      <c r="X4" s="385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0"/>
      <c r="X4" s="385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0"/>
      <c r="X4" s="385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43009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0"/>
      <c r="X4" s="385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31"/>
      <c r="B4" s="331"/>
      <c r="C4" s="331"/>
      <c r="D4" s="331"/>
      <c r="E4" s="331"/>
      <c r="F4" s="331"/>
      <c r="G4" s="331"/>
      <c r="H4" s="10" t="s">
        <v>27</v>
      </c>
      <c r="I4" s="10" t="s">
        <v>28</v>
      </c>
      <c r="J4" s="10" t="s">
        <v>27</v>
      </c>
      <c r="K4" s="11" t="s">
        <v>29</v>
      </c>
      <c r="L4" s="331"/>
      <c r="M4" s="331"/>
      <c r="N4" s="332"/>
      <c r="O4" s="332"/>
      <c r="P4" s="332"/>
      <c r="Q4" s="10" t="s">
        <v>2</v>
      </c>
      <c r="R4" s="11" t="s">
        <v>30</v>
      </c>
      <c r="S4" s="10" t="s">
        <v>2</v>
      </c>
      <c r="T4" s="11" t="s">
        <v>30</v>
      </c>
      <c r="U4" s="331"/>
      <c r="V4" s="332"/>
      <c r="W4" s="330"/>
      <c r="X4" s="385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393" t="s">
        <v>250</v>
      </c>
      <c r="B7" s="393" t="s">
        <v>258</v>
      </c>
      <c r="C7" s="393" t="s">
        <v>183</v>
      </c>
      <c r="D7" s="393">
        <v>119</v>
      </c>
      <c r="E7" s="396" t="s">
        <v>591</v>
      </c>
      <c r="F7" s="393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97">
        <v>0</v>
      </c>
      <c r="O7" s="397">
        <v>0</v>
      </c>
      <c r="P7" s="389">
        <f t="shared" si="0"/>
        <v>0</v>
      </c>
      <c r="Q7" s="391">
        <v>5</v>
      </c>
      <c r="R7" s="398">
        <v>120</v>
      </c>
      <c r="S7" s="391">
        <v>0</v>
      </c>
      <c r="T7" s="398">
        <v>0</v>
      </c>
      <c r="U7" s="389">
        <f t="shared" si="1"/>
        <v>600</v>
      </c>
      <c r="V7" s="389">
        <f t="shared" si="2"/>
        <v>600</v>
      </c>
      <c r="W7" s="389">
        <f t="shared" si="3"/>
        <v>600</v>
      </c>
      <c r="X7" s="391"/>
    </row>
    <row r="8" spans="1:24" ht="15" x14ac:dyDescent="0.2">
      <c r="A8" s="394"/>
      <c r="B8" s="394"/>
      <c r="C8" s="394"/>
      <c r="D8" s="394"/>
      <c r="E8" s="396"/>
      <c r="F8" s="394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97"/>
      <c r="O8" s="397"/>
      <c r="P8" s="390"/>
      <c r="Q8" s="392"/>
      <c r="R8" s="399"/>
      <c r="S8" s="392"/>
      <c r="T8" s="399"/>
      <c r="U8" s="390"/>
      <c r="V8" s="390"/>
      <c r="W8" s="390"/>
      <c r="X8" s="392"/>
    </row>
    <row r="9" spans="1:24" ht="15" x14ac:dyDescent="0.2">
      <c r="A9" s="393" t="s">
        <v>250</v>
      </c>
      <c r="B9" s="393" t="s">
        <v>212</v>
      </c>
      <c r="C9" s="395" t="s">
        <v>270</v>
      </c>
      <c r="D9" s="393">
        <v>158</v>
      </c>
      <c r="E9" s="396" t="s">
        <v>592</v>
      </c>
      <c r="F9" s="395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97">
        <v>0</v>
      </c>
      <c r="O9" s="397">
        <v>0</v>
      </c>
      <c r="P9" s="389">
        <f t="shared" ref="P9" si="4">SUM(N9:O9)</f>
        <v>0</v>
      </c>
      <c r="Q9" s="391">
        <v>5</v>
      </c>
      <c r="R9" s="398">
        <v>120</v>
      </c>
      <c r="S9" s="391">
        <v>0</v>
      </c>
      <c r="T9" s="398">
        <v>0</v>
      </c>
      <c r="U9" s="389">
        <f t="shared" ref="U9" si="5">(Q9*R9)+(S9*T9)</f>
        <v>600</v>
      </c>
      <c r="V9" s="389">
        <f t="shared" ref="V9" si="6">U9+P9</f>
        <v>600</v>
      </c>
      <c r="W9" s="389">
        <f t="shared" ref="W9" si="7">V9</f>
        <v>600</v>
      </c>
      <c r="X9" s="391"/>
    </row>
    <row r="10" spans="1:24" ht="15" x14ac:dyDescent="0.2">
      <c r="A10" s="394"/>
      <c r="B10" s="394"/>
      <c r="C10" s="394"/>
      <c r="D10" s="394"/>
      <c r="E10" s="396"/>
      <c r="F10" s="394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97"/>
      <c r="O10" s="397"/>
      <c r="P10" s="390"/>
      <c r="Q10" s="392"/>
      <c r="R10" s="399"/>
      <c r="S10" s="392"/>
      <c r="T10" s="399"/>
      <c r="U10" s="390"/>
      <c r="V10" s="390"/>
      <c r="W10" s="390"/>
      <c r="X10" s="392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43009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42.75" x14ac:dyDescent="0.2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15" x14ac:dyDescent="0.2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15" x14ac:dyDescent="0.2">
      <c r="A5" s="218" t="s">
        <v>250</v>
      </c>
      <c r="B5" s="218" t="s">
        <v>212</v>
      </c>
      <c r="C5" s="218" t="s">
        <v>378</v>
      </c>
      <c r="D5" s="240">
        <v>347</v>
      </c>
      <c r="E5" s="231" t="s">
        <v>52</v>
      </c>
      <c r="F5" s="218" t="s">
        <v>640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44605</v>
      </c>
      <c r="M5" s="89">
        <v>44608</v>
      </c>
      <c r="N5" s="241">
        <f>2846.92/2</f>
        <v>1423.46</v>
      </c>
      <c r="O5" s="241">
        <f>2846.92/2</f>
        <v>1423.46</v>
      </c>
      <c r="P5" s="241">
        <f>SUM(N5:O5)</f>
        <v>2846.92</v>
      </c>
      <c r="Q5" s="239">
        <v>4</v>
      </c>
      <c r="R5" s="241">
        <v>120</v>
      </c>
      <c r="S5" s="239">
        <v>0</v>
      </c>
      <c r="T5" s="241">
        <v>0</v>
      </c>
      <c r="U5" s="241">
        <f t="shared" ref="U5" si="0">(Q5*R5)+(S5*T5)</f>
        <v>480</v>
      </c>
      <c r="V5" s="241">
        <f t="shared" ref="V5" si="1">U5+P5</f>
        <v>3326.92</v>
      </c>
      <c r="W5" s="241">
        <f t="shared" ref="W5" si="2">V5</f>
        <v>3326.92</v>
      </c>
      <c r="X5" s="23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15" x14ac:dyDescent="0.2">
      <c r="A5" s="248" t="s">
        <v>597</v>
      </c>
      <c r="B5" s="248" t="s">
        <v>597</v>
      </c>
      <c r="C5" s="248" t="s">
        <v>412</v>
      </c>
      <c r="D5" s="242">
        <v>0</v>
      </c>
      <c r="E5" s="248" t="s">
        <v>561</v>
      </c>
      <c r="F5" s="248" t="s">
        <v>346</v>
      </c>
      <c r="G5" s="98" t="s">
        <v>31</v>
      </c>
      <c r="H5" s="98" t="s">
        <v>32</v>
      </c>
      <c r="I5" s="98" t="s">
        <v>33</v>
      </c>
      <c r="J5" s="248" t="s">
        <v>106</v>
      </c>
      <c r="K5" s="211" t="s">
        <v>107</v>
      </c>
      <c r="L5" s="89">
        <v>44643</v>
      </c>
      <c r="M5" s="89">
        <v>44647</v>
      </c>
      <c r="N5" s="244">
        <f>987.45/2</f>
        <v>493.72500000000002</v>
      </c>
      <c r="O5" s="244">
        <f>987.45/2</f>
        <v>493.72500000000002</v>
      </c>
      <c r="P5" s="244">
        <f>SUM(N5:O5)</f>
        <v>987.45</v>
      </c>
      <c r="Q5" s="243"/>
      <c r="R5" s="244"/>
      <c r="S5" s="243">
        <v>0</v>
      </c>
      <c r="T5" s="244">
        <v>0</v>
      </c>
      <c r="U5" s="244">
        <f t="shared" ref="U5" si="0">(Q5*R5)+(S5*T5)</f>
        <v>0</v>
      </c>
      <c r="V5" s="244">
        <f t="shared" ref="V5" si="1">U5+P5</f>
        <v>987.45</v>
      </c>
      <c r="W5" s="244">
        <f t="shared" ref="W5" si="2">V5</f>
        <v>987.45</v>
      </c>
      <c r="X5" s="243"/>
    </row>
    <row r="6" spans="1:24" ht="15" x14ac:dyDescent="0.2">
      <c r="A6" s="248" t="s">
        <v>597</v>
      </c>
      <c r="B6" s="248" t="s">
        <v>301</v>
      </c>
      <c r="C6" s="248" t="s">
        <v>608</v>
      </c>
      <c r="D6" s="242">
        <v>355</v>
      </c>
      <c r="E6" s="248" t="s">
        <v>313</v>
      </c>
      <c r="F6" s="248" t="s">
        <v>346</v>
      </c>
      <c r="G6" s="98" t="s">
        <v>31</v>
      </c>
      <c r="H6" s="98" t="s">
        <v>32</v>
      </c>
      <c r="I6" s="98" t="s">
        <v>33</v>
      </c>
      <c r="J6" s="248" t="s">
        <v>106</v>
      </c>
      <c r="K6" s="211" t="s">
        <v>107</v>
      </c>
      <c r="L6" s="89">
        <v>44643</v>
      </c>
      <c r="M6" s="89">
        <v>44647</v>
      </c>
      <c r="N6" s="244">
        <f>2876.93/2</f>
        <v>1438.4649999999999</v>
      </c>
      <c r="O6" s="244">
        <f>2876.93/2</f>
        <v>1438.4649999999999</v>
      </c>
      <c r="P6" s="244">
        <f>SUM(N6:O6)</f>
        <v>2876.93</v>
      </c>
      <c r="Q6" s="243">
        <v>5</v>
      </c>
      <c r="R6" s="244">
        <v>120</v>
      </c>
      <c r="S6" s="243">
        <v>0</v>
      </c>
      <c r="T6" s="244">
        <v>0</v>
      </c>
      <c r="U6" s="244">
        <f t="shared" ref="U6" si="3">(Q6*R6)+(S6*T6)</f>
        <v>600</v>
      </c>
      <c r="V6" s="244">
        <f t="shared" ref="V6" si="4">U6+P6</f>
        <v>3476.93</v>
      </c>
      <c r="W6" s="244">
        <f t="shared" ref="W6" si="5">V6</f>
        <v>3476.93</v>
      </c>
      <c r="X6" s="243"/>
    </row>
    <row r="7" spans="1:24" ht="15" x14ac:dyDescent="0.2">
      <c r="A7" s="248" t="s">
        <v>250</v>
      </c>
      <c r="B7" s="248" t="s">
        <v>289</v>
      </c>
      <c r="C7" s="248" t="s">
        <v>636</v>
      </c>
      <c r="D7" s="242">
        <v>78</v>
      </c>
      <c r="E7" s="248" t="s">
        <v>127</v>
      </c>
      <c r="F7" s="248" t="s">
        <v>641</v>
      </c>
      <c r="G7" s="98" t="s">
        <v>31</v>
      </c>
      <c r="H7" s="98" t="s">
        <v>32</v>
      </c>
      <c r="I7" s="98" t="s">
        <v>33</v>
      </c>
      <c r="J7" s="248" t="s">
        <v>32</v>
      </c>
      <c r="K7" s="248" t="s">
        <v>390</v>
      </c>
      <c r="L7" s="89">
        <v>44610</v>
      </c>
      <c r="M7" s="89">
        <v>44623</v>
      </c>
      <c r="N7" s="244">
        <f>2980.92/2</f>
        <v>1490.46</v>
      </c>
      <c r="O7" s="244">
        <f>2980.92/2</f>
        <v>1490.46</v>
      </c>
      <c r="P7" s="244">
        <f>SUM(N7:O7)</f>
        <v>2980.92</v>
      </c>
      <c r="Q7" s="243">
        <v>14</v>
      </c>
      <c r="R7" s="244">
        <v>120</v>
      </c>
      <c r="S7" s="243">
        <v>0</v>
      </c>
      <c r="T7" s="244">
        <v>0</v>
      </c>
      <c r="U7" s="244">
        <f t="shared" ref="U7" si="6">(Q7*R7)+(S7*T7)</f>
        <v>1680</v>
      </c>
      <c r="V7" s="244">
        <f t="shared" ref="V7" si="7">U7+P7</f>
        <v>4660.92</v>
      </c>
      <c r="W7" s="244">
        <f t="shared" ref="W7" si="8">V7</f>
        <v>4660.92</v>
      </c>
      <c r="X7" s="24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24" sqref="D24:E24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15" x14ac:dyDescent="0.2">
      <c r="A5" s="248" t="s">
        <v>250</v>
      </c>
      <c r="B5" s="248" t="s">
        <v>289</v>
      </c>
      <c r="C5" s="248" t="s">
        <v>642</v>
      </c>
      <c r="D5" s="246">
        <v>252</v>
      </c>
      <c r="E5" s="252" t="s">
        <v>127</v>
      </c>
      <c r="F5" s="252" t="s">
        <v>643</v>
      </c>
      <c r="G5" s="98" t="s">
        <v>31</v>
      </c>
      <c r="H5" s="98" t="s">
        <v>32</v>
      </c>
      <c r="I5" s="98" t="s">
        <v>33</v>
      </c>
      <c r="J5" s="252" t="s">
        <v>32</v>
      </c>
      <c r="K5" s="252" t="s">
        <v>390</v>
      </c>
      <c r="L5" s="89">
        <v>44659</v>
      </c>
      <c r="M5" s="89">
        <v>44677</v>
      </c>
      <c r="N5" s="247">
        <v>2980.92</v>
      </c>
      <c r="O5" s="247">
        <v>1405.09</v>
      </c>
      <c r="P5" s="247">
        <f>SUM(N5:O5)</f>
        <v>4386.01</v>
      </c>
      <c r="Q5" s="245"/>
      <c r="R5" s="247"/>
      <c r="S5" s="245">
        <v>0</v>
      </c>
      <c r="T5" s="247">
        <v>0</v>
      </c>
      <c r="U5" s="247">
        <f t="shared" ref="U5:U29" si="0">(Q5*R5)+(S5*T5)</f>
        <v>0</v>
      </c>
      <c r="V5" s="247">
        <f t="shared" ref="V5:V7" si="1">U5+P5</f>
        <v>4386.01</v>
      </c>
      <c r="W5" s="247">
        <f t="shared" ref="W5:W7" si="2">V5</f>
        <v>4386.01</v>
      </c>
      <c r="X5" s="245"/>
    </row>
    <row r="6" spans="1:24" ht="15" x14ac:dyDescent="0.2">
      <c r="A6" s="248" t="s">
        <v>372</v>
      </c>
      <c r="B6" s="248" t="s">
        <v>372</v>
      </c>
      <c r="C6" s="248" t="s">
        <v>75</v>
      </c>
      <c r="D6" s="246">
        <v>0</v>
      </c>
      <c r="E6" s="252" t="s">
        <v>88</v>
      </c>
      <c r="F6" s="248" t="s">
        <v>644</v>
      </c>
      <c r="G6" s="98" t="s">
        <v>31</v>
      </c>
      <c r="H6" s="98" t="s">
        <v>32</v>
      </c>
      <c r="I6" s="98" t="s">
        <v>33</v>
      </c>
      <c r="J6" s="252" t="s">
        <v>32</v>
      </c>
      <c r="K6" s="252" t="s">
        <v>255</v>
      </c>
      <c r="L6" s="89">
        <v>44658</v>
      </c>
      <c r="M6" s="89">
        <v>44659</v>
      </c>
      <c r="N6" s="247">
        <v>0</v>
      </c>
      <c r="O6" s="247">
        <v>0</v>
      </c>
      <c r="P6" s="247">
        <f>SUM(N6:O6)</f>
        <v>0</v>
      </c>
      <c r="Q6" s="245">
        <v>0</v>
      </c>
      <c r="R6" s="247">
        <v>0</v>
      </c>
      <c r="S6" s="245">
        <v>0</v>
      </c>
      <c r="T6" s="247">
        <v>0</v>
      </c>
      <c r="U6" s="247">
        <f t="shared" si="0"/>
        <v>0</v>
      </c>
      <c r="V6" s="247">
        <f t="shared" si="1"/>
        <v>0</v>
      </c>
      <c r="W6" s="247">
        <f t="shared" si="2"/>
        <v>0</v>
      </c>
      <c r="X6" s="245"/>
    </row>
    <row r="7" spans="1:24" ht="15" x14ac:dyDescent="0.2">
      <c r="A7" s="248" t="s">
        <v>372</v>
      </c>
      <c r="B7" s="248" t="s">
        <v>372</v>
      </c>
      <c r="C7" s="248" t="s">
        <v>611</v>
      </c>
      <c r="D7" s="246">
        <v>57</v>
      </c>
      <c r="E7" s="252" t="s">
        <v>619</v>
      </c>
      <c r="F7" s="248" t="s">
        <v>644</v>
      </c>
      <c r="G7" s="98" t="s">
        <v>31</v>
      </c>
      <c r="H7" s="98" t="s">
        <v>32</v>
      </c>
      <c r="I7" s="98" t="s">
        <v>33</v>
      </c>
      <c r="J7" s="252" t="s">
        <v>32</v>
      </c>
      <c r="K7" s="252" t="s">
        <v>255</v>
      </c>
      <c r="L7" s="89">
        <v>44658</v>
      </c>
      <c r="M7" s="89">
        <v>44659</v>
      </c>
      <c r="N7" s="247">
        <v>0</v>
      </c>
      <c r="O7" s="247">
        <v>0</v>
      </c>
      <c r="P7" s="247">
        <f t="shared" ref="P7:P29" si="3">SUM(N7:O7)</f>
        <v>0</v>
      </c>
      <c r="Q7" s="245">
        <v>2</v>
      </c>
      <c r="R7" s="247">
        <v>120</v>
      </c>
      <c r="S7" s="245">
        <v>0</v>
      </c>
      <c r="T7" s="247">
        <v>0</v>
      </c>
      <c r="U7" s="247">
        <f t="shared" si="0"/>
        <v>240</v>
      </c>
      <c r="V7" s="247">
        <f t="shared" si="1"/>
        <v>240</v>
      </c>
      <c r="W7" s="247">
        <f t="shared" si="2"/>
        <v>240</v>
      </c>
      <c r="X7" s="245"/>
    </row>
    <row r="8" spans="1:24" ht="15" x14ac:dyDescent="0.2">
      <c r="A8" s="248" t="s">
        <v>229</v>
      </c>
      <c r="B8" s="248" t="s">
        <v>362</v>
      </c>
      <c r="C8" s="248" t="s">
        <v>361</v>
      </c>
      <c r="D8" s="246">
        <v>23</v>
      </c>
      <c r="E8" s="252" t="s">
        <v>621</v>
      </c>
      <c r="F8" s="248" t="s">
        <v>644</v>
      </c>
      <c r="G8" s="98" t="s">
        <v>31</v>
      </c>
      <c r="H8" s="98" t="s">
        <v>32</v>
      </c>
      <c r="I8" s="98" t="s">
        <v>33</v>
      </c>
      <c r="J8" s="252" t="s">
        <v>32</v>
      </c>
      <c r="K8" s="252" t="s">
        <v>255</v>
      </c>
      <c r="L8" s="89">
        <v>44658</v>
      </c>
      <c r="M8" s="89">
        <v>44659</v>
      </c>
      <c r="N8" s="247">
        <v>0</v>
      </c>
      <c r="O8" s="247">
        <v>0</v>
      </c>
      <c r="P8" s="247">
        <f t="shared" si="3"/>
        <v>0</v>
      </c>
      <c r="Q8" s="245">
        <v>2</v>
      </c>
      <c r="R8" s="247">
        <v>120</v>
      </c>
      <c r="S8" s="245">
        <v>0</v>
      </c>
      <c r="T8" s="247"/>
      <c r="U8" s="247">
        <f t="shared" si="0"/>
        <v>240</v>
      </c>
      <c r="V8" s="247">
        <f t="shared" ref="V8:V29" si="4">U8+P8</f>
        <v>240</v>
      </c>
      <c r="W8" s="247">
        <f t="shared" ref="W8:W29" si="5">V8</f>
        <v>240</v>
      </c>
      <c r="X8" s="44"/>
    </row>
    <row r="9" spans="1:24" ht="15" x14ac:dyDescent="0.2">
      <c r="A9" s="248" t="s">
        <v>229</v>
      </c>
      <c r="B9" s="248" t="s">
        <v>229</v>
      </c>
      <c r="C9" s="248" t="s">
        <v>412</v>
      </c>
      <c r="D9" s="246">
        <v>0</v>
      </c>
      <c r="E9" s="252" t="s">
        <v>561</v>
      </c>
      <c r="F9" s="248" t="s">
        <v>644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44658</v>
      </c>
      <c r="M9" s="89">
        <v>44659</v>
      </c>
      <c r="N9" s="247">
        <v>0</v>
      </c>
      <c r="O9" s="247">
        <v>0</v>
      </c>
      <c r="P9" s="247">
        <f t="shared" si="3"/>
        <v>0</v>
      </c>
      <c r="Q9" s="245">
        <v>0</v>
      </c>
      <c r="R9" s="247">
        <v>0</v>
      </c>
      <c r="S9" s="245">
        <v>0</v>
      </c>
      <c r="T9" s="247"/>
      <c r="U9" s="247">
        <f t="shared" si="0"/>
        <v>0</v>
      </c>
      <c r="V9" s="247">
        <f t="shared" si="4"/>
        <v>0</v>
      </c>
      <c r="W9" s="247">
        <f t="shared" si="5"/>
        <v>0</v>
      </c>
      <c r="X9" s="44"/>
    </row>
    <row r="10" spans="1:24" ht="15" x14ac:dyDescent="0.2">
      <c r="A10" s="248" t="s">
        <v>250</v>
      </c>
      <c r="B10" s="248" t="s">
        <v>258</v>
      </c>
      <c r="C10" s="248" t="s">
        <v>609</v>
      </c>
      <c r="D10" s="246">
        <v>372</v>
      </c>
      <c r="E10" s="252" t="s">
        <v>208</v>
      </c>
      <c r="F10" s="248" t="s">
        <v>644</v>
      </c>
      <c r="G10" s="98" t="s">
        <v>31</v>
      </c>
      <c r="H10" s="98" t="s">
        <v>32</v>
      </c>
      <c r="I10" s="98" t="s">
        <v>33</v>
      </c>
      <c r="J10" s="252" t="s">
        <v>32</v>
      </c>
      <c r="K10" s="252" t="s">
        <v>255</v>
      </c>
      <c r="L10" s="89">
        <v>44658</v>
      </c>
      <c r="M10" s="89">
        <v>44659</v>
      </c>
      <c r="N10" s="247">
        <v>0</v>
      </c>
      <c r="O10" s="247">
        <v>0</v>
      </c>
      <c r="P10" s="247">
        <f t="shared" si="3"/>
        <v>0</v>
      </c>
      <c r="Q10" s="245">
        <v>2</v>
      </c>
      <c r="R10" s="247">
        <v>120</v>
      </c>
      <c r="S10" s="245">
        <v>0</v>
      </c>
      <c r="T10" s="247"/>
      <c r="U10" s="247">
        <f t="shared" si="0"/>
        <v>240</v>
      </c>
      <c r="V10" s="247">
        <f t="shared" si="4"/>
        <v>240</v>
      </c>
      <c r="W10" s="247">
        <f t="shared" si="5"/>
        <v>240</v>
      </c>
      <c r="X10" s="44"/>
    </row>
    <row r="11" spans="1:24" ht="15" x14ac:dyDescent="0.2">
      <c r="A11" s="248" t="s">
        <v>229</v>
      </c>
      <c r="B11" s="248" t="s">
        <v>215</v>
      </c>
      <c r="C11" s="248" t="s">
        <v>48</v>
      </c>
      <c r="D11" s="246">
        <v>56</v>
      </c>
      <c r="E11" s="252" t="s">
        <v>615</v>
      </c>
      <c r="F11" s="248" t="s">
        <v>644</v>
      </c>
      <c r="G11" s="98" t="s">
        <v>31</v>
      </c>
      <c r="H11" s="98" t="s">
        <v>32</v>
      </c>
      <c r="I11" s="98" t="s">
        <v>33</v>
      </c>
      <c r="J11" s="252" t="s">
        <v>32</v>
      </c>
      <c r="K11" s="252" t="s">
        <v>255</v>
      </c>
      <c r="L11" s="89">
        <v>44658</v>
      </c>
      <c r="M11" s="89">
        <v>44659</v>
      </c>
      <c r="N11" s="247">
        <v>0</v>
      </c>
      <c r="O11" s="247">
        <v>0</v>
      </c>
      <c r="P11" s="247">
        <f t="shared" si="3"/>
        <v>0</v>
      </c>
      <c r="Q11" s="245">
        <v>2</v>
      </c>
      <c r="R11" s="247">
        <v>120</v>
      </c>
      <c r="S11" s="245">
        <v>0</v>
      </c>
      <c r="T11" s="247"/>
      <c r="U11" s="247">
        <f t="shared" si="0"/>
        <v>240</v>
      </c>
      <c r="V11" s="247">
        <f t="shared" si="4"/>
        <v>240</v>
      </c>
      <c r="W11" s="247">
        <f t="shared" si="5"/>
        <v>240</v>
      </c>
      <c r="X11" s="44"/>
    </row>
    <row r="12" spans="1:24" ht="15" x14ac:dyDescent="0.2">
      <c r="A12" s="248" t="s">
        <v>229</v>
      </c>
      <c r="B12" s="248" t="s">
        <v>227</v>
      </c>
      <c r="C12" s="248" t="s">
        <v>70</v>
      </c>
      <c r="D12" s="246">
        <v>303</v>
      </c>
      <c r="E12" s="252" t="s">
        <v>649</v>
      </c>
      <c r="F12" s="248" t="s">
        <v>644</v>
      </c>
      <c r="G12" s="98" t="s">
        <v>31</v>
      </c>
      <c r="H12" s="98" t="s">
        <v>32</v>
      </c>
      <c r="I12" s="98" t="s">
        <v>33</v>
      </c>
      <c r="J12" s="252" t="s">
        <v>32</v>
      </c>
      <c r="K12" s="252" t="s">
        <v>255</v>
      </c>
      <c r="L12" s="89">
        <v>44658</v>
      </c>
      <c r="M12" s="89">
        <v>44659</v>
      </c>
      <c r="N12" s="247">
        <v>0</v>
      </c>
      <c r="O12" s="247">
        <v>0</v>
      </c>
      <c r="P12" s="247">
        <f t="shared" si="3"/>
        <v>0</v>
      </c>
      <c r="Q12" s="245">
        <v>2</v>
      </c>
      <c r="R12" s="247">
        <v>120</v>
      </c>
      <c r="S12" s="245">
        <v>0</v>
      </c>
      <c r="T12" s="247"/>
      <c r="U12" s="247">
        <f t="shared" si="0"/>
        <v>240</v>
      </c>
      <c r="V12" s="247">
        <f t="shared" si="4"/>
        <v>240</v>
      </c>
      <c r="W12" s="247">
        <f t="shared" si="5"/>
        <v>240</v>
      </c>
      <c r="X12" s="44"/>
    </row>
    <row r="13" spans="1:24" ht="15" x14ac:dyDescent="0.2">
      <c r="A13" s="248" t="s">
        <v>229</v>
      </c>
      <c r="B13" s="248" t="s">
        <v>227</v>
      </c>
      <c r="C13" s="248" t="s">
        <v>581</v>
      </c>
      <c r="D13" s="246">
        <v>357</v>
      </c>
      <c r="E13" s="252" t="s">
        <v>262</v>
      </c>
      <c r="F13" s="248" t="s">
        <v>644</v>
      </c>
      <c r="G13" s="98" t="s">
        <v>31</v>
      </c>
      <c r="H13" s="98" t="s">
        <v>32</v>
      </c>
      <c r="I13" s="98" t="s">
        <v>33</v>
      </c>
      <c r="J13" s="252" t="s">
        <v>32</v>
      </c>
      <c r="K13" s="252" t="s">
        <v>255</v>
      </c>
      <c r="L13" s="89">
        <v>44658</v>
      </c>
      <c r="M13" s="89">
        <v>44659</v>
      </c>
      <c r="N13" s="247">
        <v>0</v>
      </c>
      <c r="O13" s="247">
        <v>0</v>
      </c>
      <c r="P13" s="247">
        <f t="shared" si="3"/>
        <v>0</v>
      </c>
      <c r="Q13" s="245">
        <v>2</v>
      </c>
      <c r="R13" s="247">
        <v>120</v>
      </c>
      <c r="S13" s="245">
        <v>0</v>
      </c>
      <c r="T13" s="247"/>
      <c r="U13" s="247">
        <f t="shared" si="0"/>
        <v>240</v>
      </c>
      <c r="V13" s="247">
        <f t="shared" si="4"/>
        <v>240</v>
      </c>
      <c r="W13" s="247">
        <f t="shared" si="5"/>
        <v>240</v>
      </c>
      <c r="X13" s="44"/>
    </row>
    <row r="14" spans="1:24" ht="15" x14ac:dyDescent="0.2">
      <c r="A14" s="248" t="s">
        <v>250</v>
      </c>
      <c r="B14" s="248" t="s">
        <v>212</v>
      </c>
      <c r="C14" s="248" t="s">
        <v>397</v>
      </c>
      <c r="D14" s="246">
        <v>345</v>
      </c>
      <c r="E14" s="252" t="s">
        <v>650</v>
      </c>
      <c r="F14" s="248" t="s">
        <v>644</v>
      </c>
      <c r="G14" s="98" t="s">
        <v>31</v>
      </c>
      <c r="H14" s="98" t="s">
        <v>32</v>
      </c>
      <c r="I14" s="98" t="s">
        <v>33</v>
      </c>
      <c r="J14" s="252" t="s">
        <v>32</v>
      </c>
      <c r="K14" s="252" t="s">
        <v>255</v>
      </c>
      <c r="L14" s="89">
        <v>44658</v>
      </c>
      <c r="M14" s="89">
        <v>44659</v>
      </c>
      <c r="N14" s="247">
        <v>0</v>
      </c>
      <c r="O14" s="247">
        <v>0</v>
      </c>
      <c r="P14" s="247">
        <f t="shared" si="3"/>
        <v>0</v>
      </c>
      <c r="Q14" s="245">
        <v>2</v>
      </c>
      <c r="R14" s="247">
        <v>120</v>
      </c>
      <c r="S14" s="245">
        <v>0</v>
      </c>
      <c r="T14" s="247"/>
      <c r="U14" s="247">
        <f t="shared" si="0"/>
        <v>240</v>
      </c>
      <c r="V14" s="247">
        <f t="shared" si="4"/>
        <v>240</v>
      </c>
      <c r="W14" s="247">
        <f t="shared" si="5"/>
        <v>240</v>
      </c>
      <c r="X14" s="44"/>
    </row>
    <row r="15" spans="1:24" ht="15" x14ac:dyDescent="0.2">
      <c r="A15" s="248" t="s">
        <v>229</v>
      </c>
      <c r="B15" s="248" t="s">
        <v>227</v>
      </c>
      <c r="C15" s="248" t="s">
        <v>645</v>
      </c>
      <c r="D15" s="246">
        <v>377</v>
      </c>
      <c r="E15" s="252" t="s">
        <v>651</v>
      </c>
      <c r="F15" s="248" t="s">
        <v>644</v>
      </c>
      <c r="G15" s="98" t="s">
        <v>31</v>
      </c>
      <c r="H15" s="98" t="s">
        <v>32</v>
      </c>
      <c r="I15" s="98" t="s">
        <v>33</v>
      </c>
      <c r="J15" s="252" t="s">
        <v>32</v>
      </c>
      <c r="K15" s="252" t="s">
        <v>255</v>
      </c>
      <c r="L15" s="89">
        <v>44658</v>
      </c>
      <c r="M15" s="89">
        <v>44659</v>
      </c>
      <c r="N15" s="247">
        <v>0</v>
      </c>
      <c r="O15" s="247">
        <v>0</v>
      </c>
      <c r="P15" s="247">
        <f t="shared" si="3"/>
        <v>0</v>
      </c>
      <c r="Q15" s="245">
        <v>2</v>
      </c>
      <c r="R15" s="247">
        <v>120</v>
      </c>
      <c r="S15" s="245">
        <v>0</v>
      </c>
      <c r="T15" s="247"/>
      <c r="U15" s="247">
        <f t="shared" si="0"/>
        <v>240</v>
      </c>
      <c r="V15" s="247">
        <f t="shared" si="4"/>
        <v>240</v>
      </c>
      <c r="W15" s="247">
        <f t="shared" si="5"/>
        <v>240</v>
      </c>
      <c r="X15" s="44"/>
    </row>
    <row r="16" spans="1:24" ht="15" x14ac:dyDescent="0.2">
      <c r="A16" s="248" t="s">
        <v>229</v>
      </c>
      <c r="B16" s="248" t="s">
        <v>542</v>
      </c>
      <c r="C16" s="248" t="s">
        <v>541</v>
      </c>
      <c r="D16" s="246">
        <v>353</v>
      </c>
      <c r="E16" s="252" t="s">
        <v>548</v>
      </c>
      <c r="F16" s="248" t="s">
        <v>644</v>
      </c>
      <c r="G16" s="98" t="s">
        <v>31</v>
      </c>
      <c r="H16" s="98" t="s">
        <v>32</v>
      </c>
      <c r="I16" s="98" t="s">
        <v>33</v>
      </c>
      <c r="J16" s="252" t="s">
        <v>32</v>
      </c>
      <c r="K16" s="252" t="s">
        <v>255</v>
      </c>
      <c r="L16" s="89">
        <v>44658</v>
      </c>
      <c r="M16" s="89">
        <v>44659</v>
      </c>
      <c r="N16" s="247">
        <v>0</v>
      </c>
      <c r="O16" s="247">
        <v>0</v>
      </c>
      <c r="P16" s="247">
        <f t="shared" si="3"/>
        <v>0</v>
      </c>
      <c r="Q16" s="245">
        <v>2</v>
      </c>
      <c r="R16" s="247">
        <v>120</v>
      </c>
      <c r="S16" s="245">
        <v>0</v>
      </c>
      <c r="T16" s="247"/>
      <c r="U16" s="247">
        <f t="shared" si="0"/>
        <v>240</v>
      </c>
      <c r="V16" s="247">
        <f t="shared" si="4"/>
        <v>240</v>
      </c>
      <c r="W16" s="247">
        <f t="shared" si="5"/>
        <v>240</v>
      </c>
      <c r="X16" s="44"/>
    </row>
    <row r="17" spans="1:24" ht="15" x14ac:dyDescent="0.2">
      <c r="A17" s="248" t="s">
        <v>250</v>
      </c>
      <c r="B17" s="248" t="s">
        <v>250</v>
      </c>
      <c r="C17" s="248" t="s">
        <v>319</v>
      </c>
      <c r="D17" s="246" t="s">
        <v>633</v>
      </c>
      <c r="E17" s="252" t="s">
        <v>87</v>
      </c>
      <c r="F17" s="248" t="s">
        <v>644</v>
      </c>
      <c r="G17" s="98" t="s">
        <v>31</v>
      </c>
      <c r="H17" s="98" t="s">
        <v>32</v>
      </c>
      <c r="I17" s="98" t="s">
        <v>33</v>
      </c>
      <c r="J17" s="252" t="s">
        <v>32</v>
      </c>
      <c r="K17" s="252" t="s">
        <v>255</v>
      </c>
      <c r="L17" s="89">
        <v>44658</v>
      </c>
      <c r="M17" s="89">
        <v>44659</v>
      </c>
      <c r="N17" s="247">
        <v>0</v>
      </c>
      <c r="O17" s="247">
        <v>0</v>
      </c>
      <c r="P17" s="247">
        <f t="shared" si="3"/>
        <v>0</v>
      </c>
      <c r="Q17" s="245">
        <v>2</v>
      </c>
      <c r="R17" s="247">
        <v>120</v>
      </c>
      <c r="S17" s="245">
        <v>0</v>
      </c>
      <c r="T17" s="247"/>
      <c r="U17" s="247">
        <f t="shared" si="0"/>
        <v>240</v>
      </c>
      <c r="V17" s="247">
        <f t="shared" si="4"/>
        <v>240</v>
      </c>
      <c r="W17" s="247">
        <f t="shared" si="5"/>
        <v>240</v>
      </c>
      <c r="X17" s="44"/>
    </row>
    <row r="18" spans="1:24" ht="15" x14ac:dyDescent="0.2">
      <c r="A18" s="248" t="s">
        <v>250</v>
      </c>
      <c r="B18" s="248" t="s">
        <v>212</v>
      </c>
      <c r="C18" s="248" t="s">
        <v>270</v>
      </c>
      <c r="D18" s="246" t="s">
        <v>173</v>
      </c>
      <c r="E18" s="252" t="s">
        <v>599</v>
      </c>
      <c r="F18" s="248" t="s">
        <v>644</v>
      </c>
      <c r="G18" s="98" t="s">
        <v>31</v>
      </c>
      <c r="H18" s="98" t="s">
        <v>32</v>
      </c>
      <c r="I18" s="98" t="s">
        <v>33</v>
      </c>
      <c r="J18" s="252" t="s">
        <v>32</v>
      </c>
      <c r="K18" s="252" t="s">
        <v>255</v>
      </c>
      <c r="L18" s="89">
        <v>44658</v>
      </c>
      <c r="M18" s="89">
        <v>44659</v>
      </c>
      <c r="N18" s="247">
        <v>0</v>
      </c>
      <c r="O18" s="247">
        <v>0</v>
      </c>
      <c r="P18" s="247">
        <f t="shared" si="3"/>
        <v>0</v>
      </c>
      <c r="Q18" s="245">
        <v>2</v>
      </c>
      <c r="R18" s="247">
        <v>120</v>
      </c>
      <c r="S18" s="245">
        <v>0</v>
      </c>
      <c r="T18" s="247"/>
      <c r="U18" s="247">
        <f t="shared" si="0"/>
        <v>240</v>
      </c>
      <c r="V18" s="247">
        <f t="shared" si="4"/>
        <v>240</v>
      </c>
      <c r="W18" s="247">
        <f t="shared" si="5"/>
        <v>240</v>
      </c>
      <c r="X18" s="44"/>
    </row>
    <row r="19" spans="1:24" ht="15" x14ac:dyDescent="0.2">
      <c r="A19" s="248" t="s">
        <v>250</v>
      </c>
      <c r="B19" s="248" t="s">
        <v>212</v>
      </c>
      <c r="C19" s="248" t="s">
        <v>40</v>
      </c>
      <c r="D19" s="246">
        <v>129</v>
      </c>
      <c r="E19" s="252" t="s">
        <v>652</v>
      </c>
      <c r="F19" s="248" t="s">
        <v>644</v>
      </c>
      <c r="G19" s="98" t="s">
        <v>31</v>
      </c>
      <c r="H19" s="98" t="s">
        <v>32</v>
      </c>
      <c r="I19" s="98" t="s">
        <v>33</v>
      </c>
      <c r="J19" s="252" t="s">
        <v>32</v>
      </c>
      <c r="K19" s="252" t="s">
        <v>255</v>
      </c>
      <c r="L19" s="89">
        <v>44658</v>
      </c>
      <c r="M19" s="89">
        <v>44659</v>
      </c>
      <c r="N19" s="247">
        <v>0</v>
      </c>
      <c r="O19" s="247">
        <v>0</v>
      </c>
      <c r="P19" s="247">
        <f t="shared" si="3"/>
        <v>0</v>
      </c>
      <c r="Q19" s="245">
        <v>2</v>
      </c>
      <c r="R19" s="247">
        <v>120</v>
      </c>
      <c r="S19" s="245">
        <v>0</v>
      </c>
      <c r="T19" s="247"/>
      <c r="U19" s="247">
        <f t="shared" si="0"/>
        <v>240</v>
      </c>
      <c r="V19" s="247">
        <f t="shared" si="4"/>
        <v>240</v>
      </c>
      <c r="W19" s="247">
        <f t="shared" si="5"/>
        <v>240</v>
      </c>
      <c r="X19" s="44"/>
    </row>
    <row r="20" spans="1:24" ht="15" x14ac:dyDescent="0.2">
      <c r="A20" s="248" t="s">
        <v>372</v>
      </c>
      <c r="B20" s="248" t="s">
        <v>398</v>
      </c>
      <c r="C20" s="248" t="s">
        <v>266</v>
      </c>
      <c r="D20" s="246">
        <v>296</v>
      </c>
      <c r="E20" s="252" t="s">
        <v>653</v>
      </c>
      <c r="F20" s="248" t="s">
        <v>644</v>
      </c>
      <c r="G20" s="98" t="s">
        <v>31</v>
      </c>
      <c r="H20" s="98" t="s">
        <v>32</v>
      </c>
      <c r="I20" s="98" t="s">
        <v>33</v>
      </c>
      <c r="J20" s="252" t="s">
        <v>32</v>
      </c>
      <c r="K20" s="252" t="s">
        <v>255</v>
      </c>
      <c r="L20" s="89">
        <v>44658</v>
      </c>
      <c r="M20" s="89">
        <v>44659</v>
      </c>
      <c r="N20" s="247">
        <v>0</v>
      </c>
      <c r="O20" s="247">
        <v>0</v>
      </c>
      <c r="P20" s="247">
        <f t="shared" si="3"/>
        <v>0</v>
      </c>
      <c r="Q20" s="245">
        <v>2</v>
      </c>
      <c r="R20" s="247">
        <v>120</v>
      </c>
      <c r="S20" s="245">
        <v>0</v>
      </c>
      <c r="T20" s="247"/>
      <c r="U20" s="247">
        <f t="shared" si="0"/>
        <v>240</v>
      </c>
      <c r="V20" s="247">
        <f t="shared" si="4"/>
        <v>240</v>
      </c>
      <c r="W20" s="247">
        <f t="shared" si="5"/>
        <v>240</v>
      </c>
      <c r="X20" s="44"/>
    </row>
    <row r="21" spans="1:24" ht="15" x14ac:dyDescent="0.2">
      <c r="A21" s="248" t="s">
        <v>372</v>
      </c>
      <c r="B21" s="248" t="s">
        <v>238</v>
      </c>
      <c r="C21" s="248" t="s">
        <v>135</v>
      </c>
      <c r="D21" s="246">
        <v>230</v>
      </c>
      <c r="E21" s="252" t="s">
        <v>152</v>
      </c>
      <c r="F21" s="248" t="s">
        <v>644</v>
      </c>
      <c r="G21" s="98" t="s">
        <v>31</v>
      </c>
      <c r="H21" s="98" t="s">
        <v>32</v>
      </c>
      <c r="I21" s="98" t="s">
        <v>33</v>
      </c>
      <c r="J21" s="252" t="s">
        <v>32</v>
      </c>
      <c r="K21" s="252" t="s">
        <v>255</v>
      </c>
      <c r="L21" s="89">
        <v>44658</v>
      </c>
      <c r="M21" s="89">
        <v>44659</v>
      </c>
      <c r="N21" s="247">
        <v>0</v>
      </c>
      <c r="O21" s="247">
        <v>0</v>
      </c>
      <c r="P21" s="247">
        <f t="shared" si="3"/>
        <v>0</v>
      </c>
      <c r="Q21" s="245">
        <v>2</v>
      </c>
      <c r="R21" s="247">
        <v>120</v>
      </c>
      <c r="S21" s="245">
        <v>0</v>
      </c>
      <c r="T21" s="247"/>
      <c r="U21" s="247">
        <f t="shared" si="0"/>
        <v>240</v>
      </c>
      <c r="V21" s="247">
        <f t="shared" si="4"/>
        <v>240</v>
      </c>
      <c r="W21" s="247">
        <f t="shared" si="5"/>
        <v>240</v>
      </c>
      <c r="X21" s="44"/>
    </row>
    <row r="22" spans="1:24" ht="15" x14ac:dyDescent="0.2">
      <c r="A22" s="248" t="s">
        <v>250</v>
      </c>
      <c r="B22" s="248" t="s">
        <v>258</v>
      </c>
      <c r="C22" s="248" t="s">
        <v>183</v>
      </c>
      <c r="D22" s="246" t="s">
        <v>188</v>
      </c>
      <c r="E22" s="252" t="s">
        <v>388</v>
      </c>
      <c r="F22" s="248" t="s">
        <v>644</v>
      </c>
      <c r="G22" s="98" t="s">
        <v>31</v>
      </c>
      <c r="H22" s="98" t="s">
        <v>32</v>
      </c>
      <c r="I22" s="98" t="s">
        <v>33</v>
      </c>
      <c r="J22" s="252" t="s">
        <v>32</v>
      </c>
      <c r="K22" s="252" t="s">
        <v>255</v>
      </c>
      <c r="L22" s="89">
        <v>44658</v>
      </c>
      <c r="M22" s="89">
        <v>44659</v>
      </c>
      <c r="N22" s="247">
        <v>0</v>
      </c>
      <c r="O22" s="247">
        <v>0</v>
      </c>
      <c r="P22" s="247">
        <f t="shared" si="3"/>
        <v>0</v>
      </c>
      <c r="Q22" s="245">
        <v>2</v>
      </c>
      <c r="R22" s="247">
        <v>120</v>
      </c>
      <c r="S22" s="245">
        <v>0</v>
      </c>
      <c r="T22" s="247"/>
      <c r="U22" s="247">
        <f t="shared" si="0"/>
        <v>240</v>
      </c>
      <c r="V22" s="247">
        <f t="shared" si="4"/>
        <v>240</v>
      </c>
      <c r="W22" s="247">
        <f t="shared" si="5"/>
        <v>240</v>
      </c>
      <c r="X22" s="44"/>
    </row>
    <row r="23" spans="1:24" ht="15" x14ac:dyDescent="0.2">
      <c r="A23" s="248" t="s">
        <v>250</v>
      </c>
      <c r="B23" s="248" t="s">
        <v>322</v>
      </c>
      <c r="C23" s="248" t="s">
        <v>323</v>
      </c>
      <c r="D23" s="246">
        <v>87</v>
      </c>
      <c r="E23" s="252" t="s">
        <v>648</v>
      </c>
      <c r="F23" s="248" t="s">
        <v>644</v>
      </c>
      <c r="G23" s="98" t="s">
        <v>31</v>
      </c>
      <c r="H23" s="98" t="s">
        <v>32</v>
      </c>
      <c r="I23" s="98" t="s">
        <v>33</v>
      </c>
      <c r="J23" s="252" t="s">
        <v>32</v>
      </c>
      <c r="K23" s="252" t="s">
        <v>255</v>
      </c>
      <c r="L23" s="89">
        <v>44658</v>
      </c>
      <c r="M23" s="89">
        <v>44659</v>
      </c>
      <c r="N23" s="247">
        <v>0</v>
      </c>
      <c r="O23" s="247">
        <v>0</v>
      </c>
      <c r="P23" s="247">
        <f t="shared" si="3"/>
        <v>0</v>
      </c>
      <c r="Q23" s="245">
        <v>2</v>
      </c>
      <c r="R23" s="247">
        <v>120</v>
      </c>
      <c r="S23" s="245">
        <v>0</v>
      </c>
      <c r="T23" s="247"/>
      <c r="U23" s="247">
        <f t="shared" si="0"/>
        <v>240</v>
      </c>
      <c r="V23" s="247">
        <f t="shared" si="4"/>
        <v>240</v>
      </c>
      <c r="W23" s="247">
        <f t="shared" si="5"/>
        <v>240</v>
      </c>
      <c r="X23" s="44"/>
    </row>
    <row r="24" spans="1:24" ht="15" x14ac:dyDescent="0.2">
      <c r="A24" s="248" t="s">
        <v>372</v>
      </c>
      <c r="B24" s="248" t="s">
        <v>372</v>
      </c>
      <c r="C24" s="248" t="s">
        <v>134</v>
      </c>
      <c r="D24" s="246">
        <v>202</v>
      </c>
      <c r="E24" s="252" t="s">
        <v>87</v>
      </c>
      <c r="F24" s="248" t="s">
        <v>644</v>
      </c>
      <c r="G24" s="98" t="s">
        <v>31</v>
      </c>
      <c r="H24" s="98" t="s">
        <v>32</v>
      </c>
      <c r="I24" s="98" t="s">
        <v>33</v>
      </c>
      <c r="J24" s="252" t="s">
        <v>32</v>
      </c>
      <c r="K24" s="252" t="s">
        <v>255</v>
      </c>
      <c r="L24" s="89">
        <v>44658</v>
      </c>
      <c r="M24" s="89">
        <v>44659</v>
      </c>
      <c r="N24" s="247">
        <v>0</v>
      </c>
      <c r="O24" s="247">
        <v>0</v>
      </c>
      <c r="P24" s="247">
        <f t="shared" si="3"/>
        <v>0</v>
      </c>
      <c r="Q24" s="245">
        <v>2</v>
      </c>
      <c r="R24" s="247">
        <v>120</v>
      </c>
      <c r="S24" s="245">
        <v>0</v>
      </c>
      <c r="T24" s="247"/>
      <c r="U24" s="247">
        <f t="shared" si="0"/>
        <v>240</v>
      </c>
      <c r="V24" s="247">
        <f t="shared" si="4"/>
        <v>240</v>
      </c>
      <c r="W24" s="247">
        <f t="shared" si="5"/>
        <v>240</v>
      </c>
      <c r="X24" s="44"/>
    </row>
    <row r="25" spans="1:24" ht="15" x14ac:dyDescent="0.2">
      <c r="A25" s="248" t="s">
        <v>250</v>
      </c>
      <c r="B25" s="248" t="s">
        <v>322</v>
      </c>
      <c r="C25" s="248" t="s">
        <v>320</v>
      </c>
      <c r="D25" s="246">
        <v>204</v>
      </c>
      <c r="E25" s="252" t="s">
        <v>647</v>
      </c>
      <c r="F25" s="248" t="s">
        <v>644</v>
      </c>
      <c r="G25" s="98" t="s">
        <v>31</v>
      </c>
      <c r="H25" s="98" t="s">
        <v>32</v>
      </c>
      <c r="I25" s="98" t="s">
        <v>33</v>
      </c>
      <c r="J25" s="252" t="s">
        <v>32</v>
      </c>
      <c r="K25" s="252" t="s">
        <v>255</v>
      </c>
      <c r="L25" s="89">
        <v>44658</v>
      </c>
      <c r="M25" s="89">
        <v>44659</v>
      </c>
      <c r="N25" s="247">
        <v>0</v>
      </c>
      <c r="O25" s="247">
        <v>0</v>
      </c>
      <c r="P25" s="247">
        <f t="shared" si="3"/>
        <v>0</v>
      </c>
      <c r="Q25" s="245">
        <v>2</v>
      </c>
      <c r="R25" s="247">
        <v>120</v>
      </c>
      <c r="S25" s="245">
        <v>0</v>
      </c>
      <c r="T25" s="247"/>
      <c r="U25" s="247">
        <f t="shared" si="0"/>
        <v>240</v>
      </c>
      <c r="V25" s="247">
        <f t="shared" si="4"/>
        <v>240</v>
      </c>
      <c r="W25" s="247">
        <f t="shared" si="5"/>
        <v>240</v>
      </c>
      <c r="X25" s="44"/>
    </row>
    <row r="26" spans="1:24" ht="15" x14ac:dyDescent="0.2">
      <c r="A26" s="248" t="s">
        <v>250</v>
      </c>
      <c r="B26" s="248" t="s">
        <v>258</v>
      </c>
      <c r="C26" s="248" t="s">
        <v>432</v>
      </c>
      <c r="D26" s="246">
        <v>264</v>
      </c>
      <c r="E26" s="252" t="s">
        <v>616</v>
      </c>
      <c r="F26" s="248" t="s">
        <v>644</v>
      </c>
      <c r="G26" s="98" t="s">
        <v>31</v>
      </c>
      <c r="H26" s="98" t="s">
        <v>32</v>
      </c>
      <c r="I26" s="98" t="s">
        <v>33</v>
      </c>
      <c r="J26" s="252" t="s">
        <v>32</v>
      </c>
      <c r="K26" s="252" t="s">
        <v>255</v>
      </c>
      <c r="L26" s="89">
        <v>44658</v>
      </c>
      <c r="M26" s="89">
        <v>44659</v>
      </c>
      <c r="N26" s="247">
        <v>0</v>
      </c>
      <c r="O26" s="247">
        <v>0</v>
      </c>
      <c r="P26" s="247">
        <f t="shared" si="3"/>
        <v>0</v>
      </c>
      <c r="Q26" s="245">
        <v>2</v>
      </c>
      <c r="R26" s="247">
        <v>120</v>
      </c>
      <c r="S26" s="245">
        <v>0</v>
      </c>
      <c r="T26" s="247"/>
      <c r="U26" s="247">
        <f t="shared" si="0"/>
        <v>240</v>
      </c>
      <c r="V26" s="247">
        <f t="shared" si="4"/>
        <v>240</v>
      </c>
      <c r="W26" s="247">
        <f t="shared" si="5"/>
        <v>240</v>
      </c>
      <c r="X26" s="44"/>
    </row>
    <row r="27" spans="1:24" ht="15" x14ac:dyDescent="0.2">
      <c r="A27" s="248" t="s">
        <v>229</v>
      </c>
      <c r="B27" s="248" t="s">
        <v>227</v>
      </c>
      <c r="C27" s="248" t="s">
        <v>646</v>
      </c>
      <c r="D27" s="246">
        <v>343</v>
      </c>
      <c r="E27" s="252" t="s">
        <v>649</v>
      </c>
      <c r="F27" s="248" t="s">
        <v>644</v>
      </c>
      <c r="G27" s="98" t="s">
        <v>31</v>
      </c>
      <c r="H27" s="98" t="s">
        <v>32</v>
      </c>
      <c r="I27" s="98" t="s">
        <v>33</v>
      </c>
      <c r="J27" s="252" t="s">
        <v>32</v>
      </c>
      <c r="K27" s="252" t="s">
        <v>255</v>
      </c>
      <c r="L27" s="89">
        <v>44658</v>
      </c>
      <c r="M27" s="89">
        <v>44659</v>
      </c>
      <c r="N27" s="247">
        <v>0</v>
      </c>
      <c r="O27" s="247">
        <v>0</v>
      </c>
      <c r="P27" s="247">
        <f t="shared" si="3"/>
        <v>0</v>
      </c>
      <c r="Q27" s="245">
        <v>2</v>
      </c>
      <c r="R27" s="247">
        <v>120</v>
      </c>
      <c r="S27" s="245">
        <v>0</v>
      </c>
      <c r="T27" s="247"/>
      <c r="U27" s="247">
        <f t="shared" si="0"/>
        <v>240</v>
      </c>
      <c r="V27" s="247">
        <f t="shared" si="4"/>
        <v>240</v>
      </c>
      <c r="W27" s="247">
        <f t="shared" si="5"/>
        <v>240</v>
      </c>
      <c r="X27" s="44"/>
    </row>
    <row r="28" spans="1:24" ht="15" x14ac:dyDescent="0.2">
      <c r="A28" s="248" t="s">
        <v>229</v>
      </c>
      <c r="B28" s="248" t="s">
        <v>301</v>
      </c>
      <c r="C28" s="248" t="s">
        <v>610</v>
      </c>
      <c r="D28" s="246">
        <v>366</v>
      </c>
      <c r="E28" s="252" t="s">
        <v>618</v>
      </c>
      <c r="F28" s="248" t="s">
        <v>644</v>
      </c>
      <c r="G28" s="98" t="s">
        <v>31</v>
      </c>
      <c r="H28" s="98" t="s">
        <v>32</v>
      </c>
      <c r="I28" s="98" t="s">
        <v>33</v>
      </c>
      <c r="J28" s="252" t="s">
        <v>32</v>
      </c>
      <c r="K28" s="252" t="s">
        <v>255</v>
      </c>
      <c r="L28" s="89">
        <v>44658</v>
      </c>
      <c r="M28" s="89">
        <v>44659</v>
      </c>
      <c r="N28" s="247">
        <v>0</v>
      </c>
      <c r="O28" s="247">
        <v>0</v>
      </c>
      <c r="P28" s="247">
        <f t="shared" si="3"/>
        <v>0</v>
      </c>
      <c r="Q28" s="245">
        <v>2</v>
      </c>
      <c r="R28" s="247">
        <v>120</v>
      </c>
      <c r="S28" s="245">
        <v>0</v>
      </c>
      <c r="T28" s="247"/>
      <c r="U28" s="247">
        <f t="shared" si="0"/>
        <v>240</v>
      </c>
      <c r="V28" s="247">
        <f t="shared" si="4"/>
        <v>240</v>
      </c>
      <c r="W28" s="247">
        <f t="shared" si="5"/>
        <v>240</v>
      </c>
      <c r="X28" s="44"/>
    </row>
    <row r="29" spans="1:24" ht="15" x14ac:dyDescent="0.2">
      <c r="A29" s="248" t="s">
        <v>250</v>
      </c>
      <c r="B29" s="248" t="s">
        <v>234</v>
      </c>
      <c r="C29" s="248" t="s">
        <v>612</v>
      </c>
      <c r="D29" s="246">
        <v>365</v>
      </c>
      <c r="E29" s="252" t="s">
        <v>244</v>
      </c>
      <c r="F29" s="248" t="s">
        <v>644</v>
      </c>
      <c r="G29" s="98" t="s">
        <v>31</v>
      </c>
      <c r="H29" s="98" t="s">
        <v>32</v>
      </c>
      <c r="I29" s="98" t="s">
        <v>33</v>
      </c>
      <c r="J29" s="252" t="s">
        <v>32</v>
      </c>
      <c r="K29" s="252" t="s">
        <v>255</v>
      </c>
      <c r="L29" s="89">
        <v>44658</v>
      </c>
      <c r="M29" s="89">
        <v>44659</v>
      </c>
      <c r="N29" s="247">
        <v>0</v>
      </c>
      <c r="O29" s="247">
        <v>0</v>
      </c>
      <c r="P29" s="247">
        <f t="shared" si="3"/>
        <v>0</v>
      </c>
      <c r="Q29" s="245">
        <v>2</v>
      </c>
      <c r="R29" s="247">
        <v>120</v>
      </c>
      <c r="S29" s="245">
        <v>0</v>
      </c>
      <c r="T29" s="247"/>
      <c r="U29" s="247">
        <f t="shared" si="0"/>
        <v>240</v>
      </c>
      <c r="V29" s="247">
        <f t="shared" si="4"/>
        <v>240</v>
      </c>
      <c r="W29" s="247">
        <f t="shared" si="5"/>
        <v>240</v>
      </c>
      <c r="X29" s="44"/>
    </row>
  </sheetData>
  <sortState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15" x14ac:dyDescent="0.2">
      <c r="A5" s="248" t="s">
        <v>250</v>
      </c>
      <c r="B5" s="248" t="s">
        <v>250</v>
      </c>
      <c r="C5" s="248" t="s">
        <v>319</v>
      </c>
      <c r="D5" s="249" t="s">
        <v>633</v>
      </c>
      <c r="E5" s="252" t="s">
        <v>87</v>
      </c>
      <c r="F5" s="256" t="s">
        <v>654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44692</v>
      </c>
      <c r="M5" s="89">
        <v>44692</v>
      </c>
      <c r="N5" s="257">
        <v>1254.69</v>
      </c>
      <c r="O5" s="257">
        <v>2229.5500000000002</v>
      </c>
      <c r="P5" s="251">
        <f>SUM(N5:O5)</f>
        <v>3484.2400000000002</v>
      </c>
      <c r="Q5" s="250">
        <v>1</v>
      </c>
      <c r="R5" s="251">
        <v>120</v>
      </c>
      <c r="S5" s="250">
        <v>0</v>
      </c>
      <c r="T5" s="251">
        <v>0</v>
      </c>
      <c r="U5" s="251">
        <f t="shared" ref="U5:U11" si="0">(Q5*R5)+(S5*T5)</f>
        <v>120</v>
      </c>
      <c r="V5" s="251">
        <f t="shared" ref="V5:V11" si="1">U5+P5</f>
        <v>3604.2400000000002</v>
      </c>
      <c r="W5" s="251">
        <f t="shared" ref="W5:W11" si="2">V5</f>
        <v>3604.2400000000002</v>
      </c>
      <c r="X5" s="250"/>
    </row>
    <row r="6" spans="1:24" ht="30" x14ac:dyDescent="0.2">
      <c r="A6" s="248" t="s">
        <v>597</v>
      </c>
      <c r="B6" s="248" t="s">
        <v>301</v>
      </c>
      <c r="C6" s="248" t="s">
        <v>608</v>
      </c>
      <c r="D6" s="249">
        <v>355</v>
      </c>
      <c r="E6" s="248" t="s">
        <v>313</v>
      </c>
      <c r="F6" s="258" t="s">
        <v>655</v>
      </c>
      <c r="G6" s="98" t="s">
        <v>31</v>
      </c>
      <c r="H6" s="98" t="s">
        <v>32</v>
      </c>
      <c r="I6" s="98" t="s">
        <v>33</v>
      </c>
      <c r="J6" s="256" t="s">
        <v>121</v>
      </c>
      <c r="K6" s="256" t="s">
        <v>62</v>
      </c>
      <c r="L6" s="89">
        <v>44692</v>
      </c>
      <c r="M6" s="89">
        <v>44696</v>
      </c>
      <c r="N6" s="251">
        <f>1500/2</f>
        <v>750</v>
      </c>
      <c r="O6" s="251">
        <f>1500/2</f>
        <v>750</v>
      </c>
      <c r="P6" s="251">
        <f>SUM(N6:O6)</f>
        <v>1500</v>
      </c>
      <c r="Q6" s="250">
        <v>3</v>
      </c>
      <c r="R6" s="251">
        <v>120</v>
      </c>
      <c r="S6" s="250">
        <v>0</v>
      </c>
      <c r="T6" s="251">
        <v>0</v>
      </c>
      <c r="U6" s="251">
        <f t="shared" si="0"/>
        <v>360</v>
      </c>
      <c r="V6" s="251">
        <f t="shared" si="1"/>
        <v>1860</v>
      </c>
      <c r="W6" s="251">
        <f t="shared" si="2"/>
        <v>1860</v>
      </c>
      <c r="X6" s="250"/>
    </row>
    <row r="7" spans="1:24" ht="15" x14ac:dyDescent="0.2">
      <c r="A7" s="248" t="s">
        <v>250</v>
      </c>
      <c r="B7" s="248" t="s">
        <v>212</v>
      </c>
      <c r="C7" s="248" t="s">
        <v>270</v>
      </c>
      <c r="D7" s="249" t="s">
        <v>173</v>
      </c>
      <c r="E7" s="252" t="s">
        <v>599</v>
      </c>
      <c r="F7" s="248" t="s">
        <v>656</v>
      </c>
      <c r="G7" s="98" t="s">
        <v>31</v>
      </c>
      <c r="H7" s="98" t="s">
        <v>32</v>
      </c>
      <c r="I7" s="98" t="s">
        <v>33</v>
      </c>
      <c r="J7" s="252" t="s">
        <v>32</v>
      </c>
      <c r="K7" s="256" t="s">
        <v>390</v>
      </c>
      <c r="L7" s="89">
        <v>44706</v>
      </c>
      <c r="M7" s="89">
        <v>44707</v>
      </c>
      <c r="N7" s="251">
        <v>2980.9</v>
      </c>
      <c r="O7" s="251">
        <v>1405</v>
      </c>
      <c r="P7" s="251">
        <f t="shared" ref="P7:P11" si="3">SUM(N7:O7)</f>
        <v>4385.8999999999996</v>
      </c>
      <c r="Q7" s="250">
        <v>2</v>
      </c>
      <c r="R7" s="251">
        <v>120</v>
      </c>
      <c r="S7" s="250">
        <v>0</v>
      </c>
      <c r="T7" s="251">
        <v>0</v>
      </c>
      <c r="U7" s="251">
        <f t="shared" si="0"/>
        <v>240</v>
      </c>
      <c r="V7" s="251">
        <f t="shared" si="1"/>
        <v>4625.8999999999996</v>
      </c>
      <c r="W7" s="251">
        <f t="shared" si="2"/>
        <v>4625.8999999999996</v>
      </c>
      <c r="X7" s="250"/>
    </row>
    <row r="8" spans="1:24" ht="15" x14ac:dyDescent="0.2">
      <c r="A8" s="248" t="s">
        <v>229</v>
      </c>
      <c r="B8" s="248" t="s">
        <v>215</v>
      </c>
      <c r="C8" s="248" t="s">
        <v>48</v>
      </c>
      <c r="D8" s="249">
        <v>56</v>
      </c>
      <c r="E8" s="252" t="s">
        <v>615</v>
      </c>
      <c r="F8" s="248" t="s">
        <v>657</v>
      </c>
      <c r="G8" s="98" t="s">
        <v>31</v>
      </c>
      <c r="H8" s="98" t="s">
        <v>32</v>
      </c>
      <c r="I8" s="98" t="s">
        <v>33</v>
      </c>
      <c r="J8" s="256" t="s">
        <v>121</v>
      </c>
      <c r="K8" s="256" t="s">
        <v>62</v>
      </c>
      <c r="L8" s="89">
        <v>44692</v>
      </c>
      <c r="M8" s="89">
        <v>44694</v>
      </c>
      <c r="N8" s="251">
        <f>900/2</f>
        <v>450</v>
      </c>
      <c r="O8" s="251">
        <f>900/2</f>
        <v>450</v>
      </c>
      <c r="P8" s="251">
        <f t="shared" si="3"/>
        <v>900</v>
      </c>
      <c r="Q8" s="250">
        <v>3</v>
      </c>
      <c r="R8" s="251">
        <v>120</v>
      </c>
      <c r="S8" s="250">
        <v>0</v>
      </c>
      <c r="T8" s="251">
        <v>0</v>
      </c>
      <c r="U8" s="251">
        <f t="shared" si="0"/>
        <v>360</v>
      </c>
      <c r="V8" s="251">
        <f t="shared" si="1"/>
        <v>1260</v>
      </c>
      <c r="W8" s="251">
        <f t="shared" si="2"/>
        <v>1260</v>
      </c>
      <c r="X8" s="44"/>
    </row>
    <row r="9" spans="1:24" ht="15" x14ac:dyDescent="0.2">
      <c r="A9" s="248" t="s">
        <v>250</v>
      </c>
      <c r="B9" s="248" t="s">
        <v>322</v>
      </c>
      <c r="C9" s="248" t="s">
        <v>323</v>
      </c>
      <c r="D9" s="249">
        <v>87</v>
      </c>
      <c r="E9" s="252" t="s">
        <v>648</v>
      </c>
      <c r="F9" s="256" t="s">
        <v>654</v>
      </c>
      <c r="G9" s="98" t="s">
        <v>31</v>
      </c>
      <c r="H9" s="98" t="s">
        <v>32</v>
      </c>
      <c r="I9" s="98" t="s">
        <v>33</v>
      </c>
      <c r="J9" s="252" t="s">
        <v>32</v>
      </c>
      <c r="K9" s="252" t="s">
        <v>255</v>
      </c>
      <c r="L9" s="89">
        <v>44692</v>
      </c>
      <c r="M9" s="89">
        <v>44692</v>
      </c>
      <c r="N9" s="251">
        <v>1254.69</v>
      </c>
      <c r="O9" s="251">
        <v>2229.5500000000002</v>
      </c>
      <c r="P9" s="251">
        <f t="shared" si="3"/>
        <v>3484.2400000000002</v>
      </c>
      <c r="Q9" s="250">
        <v>2</v>
      </c>
      <c r="R9" s="251">
        <v>240</v>
      </c>
      <c r="S9" s="250">
        <v>0</v>
      </c>
      <c r="T9" s="251">
        <v>0</v>
      </c>
      <c r="U9" s="251">
        <f t="shared" si="0"/>
        <v>480</v>
      </c>
      <c r="V9" s="251">
        <f t="shared" si="1"/>
        <v>3964.2400000000002</v>
      </c>
      <c r="W9" s="251">
        <f t="shared" si="2"/>
        <v>3964.2400000000002</v>
      </c>
      <c r="X9" s="44"/>
    </row>
    <row r="10" spans="1:24" ht="30" x14ac:dyDescent="0.2">
      <c r="A10" s="248" t="s">
        <v>229</v>
      </c>
      <c r="B10" s="248" t="s">
        <v>229</v>
      </c>
      <c r="C10" s="248" t="s">
        <v>412</v>
      </c>
      <c r="D10" s="249">
        <v>0</v>
      </c>
      <c r="E10" s="252" t="s">
        <v>561</v>
      </c>
      <c r="F10" s="258" t="s">
        <v>655</v>
      </c>
      <c r="G10" s="98" t="s">
        <v>31</v>
      </c>
      <c r="H10" s="98" t="s">
        <v>32</v>
      </c>
      <c r="I10" s="98" t="s">
        <v>33</v>
      </c>
      <c r="J10" s="256" t="s">
        <v>121</v>
      </c>
      <c r="K10" s="256" t="s">
        <v>62</v>
      </c>
      <c r="L10" s="89">
        <v>44692</v>
      </c>
      <c r="M10" s="89">
        <v>44696</v>
      </c>
      <c r="N10" s="251">
        <v>3241.6</v>
      </c>
      <c r="O10" s="251">
        <v>1879.42</v>
      </c>
      <c r="P10" s="251">
        <f t="shared" si="3"/>
        <v>5121.0200000000004</v>
      </c>
      <c r="Q10" s="250">
        <v>0</v>
      </c>
      <c r="R10" s="251">
        <v>0</v>
      </c>
      <c r="S10" s="250">
        <v>0</v>
      </c>
      <c r="T10" s="251">
        <v>0</v>
      </c>
      <c r="U10" s="251">
        <f t="shared" si="0"/>
        <v>0</v>
      </c>
      <c r="V10" s="251">
        <f t="shared" si="1"/>
        <v>5121.0200000000004</v>
      </c>
      <c r="W10" s="251">
        <f t="shared" si="2"/>
        <v>5121.0200000000004</v>
      </c>
      <c r="X10" s="44"/>
    </row>
    <row r="11" spans="1:24" ht="30" x14ac:dyDescent="0.2">
      <c r="A11" s="248" t="s">
        <v>229</v>
      </c>
      <c r="B11" s="256" t="s">
        <v>658</v>
      </c>
      <c r="C11" s="248" t="s">
        <v>448</v>
      </c>
      <c r="D11" s="249">
        <v>0</v>
      </c>
      <c r="E11" s="252"/>
      <c r="F11" s="258" t="s">
        <v>655</v>
      </c>
      <c r="G11" s="98" t="s">
        <v>31</v>
      </c>
      <c r="H11" s="98" t="s">
        <v>32</v>
      </c>
      <c r="I11" s="98" t="s">
        <v>33</v>
      </c>
      <c r="J11" s="256" t="s">
        <v>121</v>
      </c>
      <c r="K11" s="256" t="s">
        <v>62</v>
      </c>
      <c r="L11" s="89">
        <v>44692</v>
      </c>
      <c r="M11" s="89">
        <v>44696</v>
      </c>
      <c r="N11" s="251">
        <v>3241.6</v>
      </c>
      <c r="O11" s="251">
        <v>1879.42</v>
      </c>
      <c r="P11" s="251">
        <f t="shared" si="3"/>
        <v>5121.0200000000004</v>
      </c>
      <c r="Q11" s="250">
        <v>0</v>
      </c>
      <c r="R11" s="251">
        <v>0</v>
      </c>
      <c r="S11" s="250">
        <v>0</v>
      </c>
      <c r="T11" s="251">
        <v>0</v>
      </c>
      <c r="U11" s="251">
        <f t="shared" si="0"/>
        <v>0</v>
      </c>
      <c r="V11" s="251">
        <f t="shared" si="1"/>
        <v>5121.0200000000004</v>
      </c>
      <c r="W11" s="251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B1"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ht="15" x14ac:dyDescent="0.2">
      <c r="A5" s="248" t="s">
        <v>250</v>
      </c>
      <c r="B5" s="261" t="s">
        <v>322</v>
      </c>
      <c r="C5" s="261" t="s">
        <v>323</v>
      </c>
      <c r="D5" s="254">
        <v>87</v>
      </c>
      <c r="E5" s="252" t="s">
        <v>648</v>
      </c>
      <c r="F5" s="261" t="s">
        <v>662</v>
      </c>
      <c r="G5" s="98" t="s">
        <v>31</v>
      </c>
      <c r="H5" s="98" t="s">
        <v>32</v>
      </c>
      <c r="I5" s="98" t="s">
        <v>33</v>
      </c>
      <c r="J5" s="256" t="s">
        <v>121</v>
      </c>
      <c r="K5" s="256" t="s">
        <v>62</v>
      </c>
      <c r="L5" s="89">
        <v>44741</v>
      </c>
      <c r="M5" s="89">
        <v>44742</v>
      </c>
      <c r="N5" s="255">
        <f>1623.42/2</f>
        <v>811.71</v>
      </c>
      <c r="O5" s="255">
        <f>1623.42/2</f>
        <v>811.71</v>
      </c>
      <c r="P5" s="255">
        <f>SUM(N5:O5)</f>
        <v>1623.42</v>
      </c>
      <c r="Q5" s="253">
        <v>2</v>
      </c>
      <c r="R5" s="255">
        <v>120</v>
      </c>
      <c r="S5" s="253">
        <v>0</v>
      </c>
      <c r="T5" s="255">
        <v>0</v>
      </c>
      <c r="U5" s="255">
        <f t="shared" ref="U5:U6" si="0">(Q5*R5)+(S5*T5)</f>
        <v>240</v>
      </c>
      <c r="V5" s="255">
        <f t="shared" ref="V5:V6" si="1">U5+P5</f>
        <v>1863.42</v>
      </c>
      <c r="W5" s="255">
        <f t="shared" ref="W5:W6" si="2">V5</f>
        <v>1863.42</v>
      </c>
      <c r="X5" s="253"/>
    </row>
    <row r="6" spans="1:24" ht="15" x14ac:dyDescent="0.2">
      <c r="A6" s="248" t="s">
        <v>250</v>
      </c>
      <c r="B6" s="248" t="s">
        <v>250</v>
      </c>
      <c r="C6" s="248" t="s">
        <v>319</v>
      </c>
      <c r="D6" s="254" t="s">
        <v>633</v>
      </c>
      <c r="E6" s="252" t="s">
        <v>87</v>
      </c>
      <c r="F6" s="262" t="s">
        <v>661</v>
      </c>
      <c r="G6" s="98" t="s">
        <v>31</v>
      </c>
      <c r="H6" s="98" t="s">
        <v>32</v>
      </c>
      <c r="I6" s="98" t="s">
        <v>33</v>
      </c>
      <c r="J6" s="261" t="s">
        <v>659</v>
      </c>
      <c r="K6" s="261" t="s">
        <v>660</v>
      </c>
      <c r="L6" s="89">
        <v>44741</v>
      </c>
      <c r="M6" s="89">
        <v>44743</v>
      </c>
      <c r="N6" s="255">
        <f>1881.08/2</f>
        <v>940.54</v>
      </c>
      <c r="O6" s="255">
        <f>1881.08/2</f>
        <v>940.54</v>
      </c>
      <c r="P6" s="255">
        <f>SUM(N6:O6)</f>
        <v>1881.08</v>
      </c>
      <c r="Q6" s="253">
        <v>3</v>
      </c>
      <c r="R6" s="255">
        <v>120</v>
      </c>
      <c r="S6" s="253">
        <v>0</v>
      </c>
      <c r="T6" s="255">
        <v>0</v>
      </c>
      <c r="U6" s="255">
        <f t="shared" si="0"/>
        <v>360</v>
      </c>
      <c r="V6" s="255">
        <f t="shared" si="1"/>
        <v>2241.08</v>
      </c>
      <c r="W6" s="255">
        <f t="shared" si="2"/>
        <v>2241.08</v>
      </c>
      <c r="X6" s="2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B1" workbookViewId="0">
      <selection activeCell="B5" sqref="A5:XFD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s="268" customFormat="1" ht="15" x14ac:dyDescent="0.2">
      <c r="A5" s="248" t="s">
        <v>229</v>
      </c>
      <c r="B5" s="248" t="s">
        <v>215</v>
      </c>
      <c r="C5" s="248" t="s">
        <v>276</v>
      </c>
      <c r="D5" s="260">
        <v>157</v>
      </c>
      <c r="E5" s="260" t="s">
        <v>664</v>
      </c>
      <c r="F5" s="260" t="s">
        <v>663</v>
      </c>
      <c r="G5" s="98" t="s">
        <v>31</v>
      </c>
      <c r="H5" s="98" t="s">
        <v>32</v>
      </c>
      <c r="I5" s="98" t="s">
        <v>33</v>
      </c>
      <c r="J5" s="98" t="s">
        <v>364</v>
      </c>
      <c r="K5" s="98" t="s">
        <v>363</v>
      </c>
      <c r="L5" s="266">
        <v>44770</v>
      </c>
      <c r="M5" s="266">
        <v>44771</v>
      </c>
      <c r="N5" s="260">
        <f>1417.14/2</f>
        <v>708.57</v>
      </c>
      <c r="O5" s="260">
        <f>1417.14/2</f>
        <v>708.57</v>
      </c>
      <c r="P5" s="259">
        <f>SUM(N5:O5)</f>
        <v>1417.14</v>
      </c>
      <c r="Q5" s="260">
        <v>4</v>
      </c>
      <c r="R5" s="267">
        <v>120</v>
      </c>
      <c r="S5" s="260">
        <v>0</v>
      </c>
      <c r="T5" s="267">
        <v>0</v>
      </c>
      <c r="U5" s="259">
        <f t="shared" ref="U5" si="0">(Q5*R5)+(S5*T5)</f>
        <v>480</v>
      </c>
      <c r="V5" s="259">
        <f>U5+P5</f>
        <v>1897.14</v>
      </c>
      <c r="W5" s="259">
        <f>V5</f>
        <v>1897.14</v>
      </c>
      <c r="X5" s="260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12" sqref="D12:E12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s="268" customFormat="1" ht="15" x14ac:dyDescent="0.2">
      <c r="A5" s="248" t="s">
        <v>597</v>
      </c>
      <c r="B5" s="248" t="s">
        <v>301</v>
      </c>
      <c r="C5" s="248" t="s">
        <v>608</v>
      </c>
      <c r="D5" s="263">
        <v>355</v>
      </c>
      <c r="E5" s="248" t="s">
        <v>313</v>
      </c>
      <c r="F5" s="265" t="s">
        <v>666</v>
      </c>
      <c r="G5" s="98" t="s">
        <v>31</v>
      </c>
      <c r="H5" s="98" t="s">
        <v>32</v>
      </c>
      <c r="I5" s="98" t="s">
        <v>33</v>
      </c>
      <c r="J5" s="98" t="s">
        <v>111</v>
      </c>
      <c r="K5" s="98" t="s">
        <v>112</v>
      </c>
      <c r="L5" s="266">
        <v>44783</v>
      </c>
      <c r="M5" s="266">
        <v>44786</v>
      </c>
      <c r="N5" s="265">
        <f>938.66/2</f>
        <v>469.33</v>
      </c>
      <c r="O5" s="265">
        <f>938.66/2</f>
        <v>469.33</v>
      </c>
      <c r="P5" s="264">
        <f>SUM(N5:O5)</f>
        <v>938.66</v>
      </c>
      <c r="Q5" s="265">
        <v>4</v>
      </c>
      <c r="R5" s="267">
        <v>120</v>
      </c>
      <c r="S5" s="265">
        <v>0</v>
      </c>
      <c r="T5" s="267">
        <v>0</v>
      </c>
      <c r="U5" s="264">
        <f>Q5*R5+S5*T5</f>
        <v>480</v>
      </c>
      <c r="V5" s="264">
        <f>P5+U5</f>
        <v>1418.6599999999999</v>
      </c>
      <c r="W5" s="264">
        <f>V5</f>
        <v>1418.6599999999999</v>
      </c>
      <c r="X5" s="265"/>
    </row>
    <row r="6" spans="1:24" s="268" customFormat="1" ht="15" x14ac:dyDescent="0.2">
      <c r="A6" s="248" t="s">
        <v>597</v>
      </c>
      <c r="B6" s="248" t="s">
        <v>597</v>
      </c>
      <c r="C6" s="248" t="s">
        <v>412</v>
      </c>
      <c r="D6" s="263">
        <v>0</v>
      </c>
      <c r="E6" s="248" t="s">
        <v>561</v>
      </c>
      <c r="F6" s="265" t="s">
        <v>666</v>
      </c>
      <c r="G6" s="98" t="s">
        <v>31</v>
      </c>
      <c r="H6" s="98" t="s">
        <v>32</v>
      </c>
      <c r="I6" s="98" t="s">
        <v>33</v>
      </c>
      <c r="J6" s="98" t="s">
        <v>111</v>
      </c>
      <c r="K6" s="98" t="s">
        <v>112</v>
      </c>
      <c r="L6" s="266">
        <v>44783</v>
      </c>
      <c r="M6" s="266">
        <v>44786</v>
      </c>
      <c r="N6" s="265">
        <f>938.66/2</f>
        <v>469.33</v>
      </c>
      <c r="O6" s="265">
        <f>938.66/2</f>
        <v>469.33</v>
      </c>
      <c r="P6" s="264">
        <f t="shared" ref="P6:P11" si="0">SUM(N6:O6)</f>
        <v>938.66</v>
      </c>
      <c r="Q6" s="265">
        <v>0</v>
      </c>
      <c r="R6" s="267">
        <v>0</v>
      </c>
      <c r="S6" s="265">
        <v>0</v>
      </c>
      <c r="T6" s="267">
        <v>0</v>
      </c>
      <c r="U6" s="264">
        <f t="shared" ref="U6:U12" si="1">Q6*R6+S6*T6</f>
        <v>0</v>
      </c>
      <c r="V6" s="264">
        <f t="shared" ref="V6:V12" si="2">P6+U6</f>
        <v>938.66</v>
      </c>
      <c r="W6" s="264">
        <f t="shared" ref="W6:W12" si="3">V6</f>
        <v>938.66</v>
      </c>
      <c r="X6" s="265"/>
    </row>
    <row r="7" spans="1:24" s="268" customFormat="1" ht="15" x14ac:dyDescent="0.2">
      <c r="A7" s="248" t="s">
        <v>372</v>
      </c>
      <c r="B7" s="248" t="s">
        <v>238</v>
      </c>
      <c r="C7" s="248" t="s">
        <v>135</v>
      </c>
      <c r="D7" s="263">
        <v>230</v>
      </c>
      <c r="E7" s="248" t="s">
        <v>152</v>
      </c>
      <c r="F7" s="265" t="s">
        <v>667</v>
      </c>
      <c r="G7" s="98" t="s">
        <v>31</v>
      </c>
      <c r="H7" s="98" t="s">
        <v>32</v>
      </c>
      <c r="I7" s="98" t="s">
        <v>33</v>
      </c>
      <c r="J7" s="98" t="s">
        <v>38</v>
      </c>
      <c r="K7" s="98" t="s">
        <v>39</v>
      </c>
      <c r="L7" s="266">
        <v>44780</v>
      </c>
      <c r="M7" s="266">
        <v>44782</v>
      </c>
      <c r="N7" s="265">
        <f>1453.97/2</f>
        <v>726.98500000000001</v>
      </c>
      <c r="O7" s="265">
        <f>1453.97/2</f>
        <v>726.98500000000001</v>
      </c>
      <c r="P7" s="264">
        <f t="shared" si="0"/>
        <v>1453.97</v>
      </c>
      <c r="Q7" s="265">
        <v>7</v>
      </c>
      <c r="R7" s="267">
        <v>120</v>
      </c>
      <c r="S7" s="265">
        <v>0</v>
      </c>
      <c r="T7" s="267">
        <v>0</v>
      </c>
      <c r="U7" s="264">
        <f t="shared" si="1"/>
        <v>840</v>
      </c>
      <c r="V7" s="264">
        <f t="shared" si="2"/>
        <v>2293.9700000000003</v>
      </c>
      <c r="W7" s="264">
        <f t="shared" si="3"/>
        <v>2293.9700000000003</v>
      </c>
      <c r="X7" s="265"/>
    </row>
    <row r="8" spans="1:24" s="268" customFormat="1" ht="28.5" x14ac:dyDescent="0.2">
      <c r="A8" s="248" t="s">
        <v>250</v>
      </c>
      <c r="B8" s="248" t="s">
        <v>289</v>
      </c>
      <c r="C8" s="248" t="s">
        <v>340</v>
      </c>
      <c r="D8" s="263">
        <v>74</v>
      </c>
      <c r="E8" s="248" t="s">
        <v>536</v>
      </c>
      <c r="F8" s="272" t="s">
        <v>668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266">
        <v>44778</v>
      </c>
      <c r="M8" s="266">
        <v>44796</v>
      </c>
      <c r="N8" s="265">
        <f>1468.46/2</f>
        <v>734.23</v>
      </c>
      <c r="O8" s="265">
        <f>1468.46/2</f>
        <v>734.23</v>
      </c>
      <c r="P8" s="264">
        <f t="shared" si="0"/>
        <v>1468.46</v>
      </c>
      <c r="Q8" s="265">
        <v>19</v>
      </c>
      <c r="R8" s="267">
        <v>120</v>
      </c>
      <c r="S8" s="265">
        <v>0</v>
      </c>
      <c r="T8" s="267">
        <v>0</v>
      </c>
      <c r="U8" s="264">
        <f t="shared" si="1"/>
        <v>2280</v>
      </c>
      <c r="V8" s="264">
        <f t="shared" si="2"/>
        <v>3748.46</v>
      </c>
      <c r="W8" s="264">
        <f t="shared" si="3"/>
        <v>3748.46</v>
      </c>
      <c r="X8" s="265"/>
    </row>
    <row r="9" spans="1:24" s="268" customFormat="1" ht="15" x14ac:dyDescent="0.2">
      <c r="A9" s="248" t="s">
        <v>250</v>
      </c>
      <c r="B9" s="248" t="s">
        <v>250</v>
      </c>
      <c r="C9" s="248" t="s">
        <v>378</v>
      </c>
      <c r="D9" s="263">
        <v>0</v>
      </c>
      <c r="E9" s="248" t="s">
        <v>87</v>
      </c>
      <c r="F9" s="265" t="s">
        <v>666</v>
      </c>
      <c r="G9" s="98" t="s">
        <v>31</v>
      </c>
      <c r="H9" s="98" t="s">
        <v>32</v>
      </c>
      <c r="I9" s="98" t="s">
        <v>33</v>
      </c>
      <c r="J9" s="98" t="s">
        <v>111</v>
      </c>
      <c r="K9" s="98" t="s">
        <v>112</v>
      </c>
      <c r="L9" s="266">
        <v>44783</v>
      </c>
      <c r="M9" s="266">
        <v>44785</v>
      </c>
      <c r="N9" s="265">
        <f>1281.31/2</f>
        <v>640.65499999999997</v>
      </c>
      <c r="O9" s="265">
        <f>1281.31/2</f>
        <v>640.65499999999997</v>
      </c>
      <c r="P9" s="264">
        <f t="shared" si="0"/>
        <v>1281.31</v>
      </c>
      <c r="Q9" s="265">
        <v>0</v>
      </c>
      <c r="R9" s="267">
        <v>0</v>
      </c>
      <c r="S9" s="265">
        <v>0</v>
      </c>
      <c r="T9" s="267">
        <v>0</v>
      </c>
      <c r="U9" s="264">
        <f t="shared" si="1"/>
        <v>0</v>
      </c>
      <c r="V9" s="264">
        <f t="shared" si="2"/>
        <v>1281.31</v>
      </c>
      <c r="W9" s="264">
        <f t="shared" si="3"/>
        <v>1281.31</v>
      </c>
      <c r="X9" s="265"/>
    </row>
    <row r="10" spans="1:24" s="268" customFormat="1" ht="15" x14ac:dyDescent="0.2">
      <c r="A10" s="248" t="s">
        <v>597</v>
      </c>
      <c r="B10" s="248" t="s">
        <v>215</v>
      </c>
      <c r="C10" s="248" t="s">
        <v>48</v>
      </c>
      <c r="D10" s="263">
        <v>56</v>
      </c>
      <c r="E10" s="248" t="s">
        <v>615</v>
      </c>
      <c r="F10" s="265" t="s">
        <v>666</v>
      </c>
      <c r="G10" s="98" t="s">
        <v>31</v>
      </c>
      <c r="H10" s="98" t="s">
        <v>32</v>
      </c>
      <c r="I10" s="98" t="s">
        <v>33</v>
      </c>
      <c r="J10" s="98" t="s">
        <v>111</v>
      </c>
      <c r="K10" s="98" t="s">
        <v>112</v>
      </c>
      <c r="L10" s="266">
        <v>44783</v>
      </c>
      <c r="M10" s="266">
        <v>44785</v>
      </c>
      <c r="N10" s="265">
        <f>1494.92/2</f>
        <v>747.46</v>
      </c>
      <c r="O10" s="265">
        <f>1494.92/2</f>
        <v>747.46</v>
      </c>
      <c r="P10" s="264">
        <f t="shared" si="0"/>
        <v>1494.92</v>
      </c>
      <c r="Q10" s="265">
        <v>3</v>
      </c>
      <c r="R10" s="267">
        <v>120</v>
      </c>
      <c r="S10" s="265"/>
      <c r="T10" s="267"/>
      <c r="U10" s="264">
        <f t="shared" si="1"/>
        <v>360</v>
      </c>
      <c r="V10" s="264">
        <f t="shared" si="2"/>
        <v>1854.92</v>
      </c>
      <c r="W10" s="264">
        <f t="shared" si="3"/>
        <v>1854.92</v>
      </c>
      <c r="X10" s="265"/>
    </row>
    <row r="11" spans="1:24" s="268" customFormat="1" ht="15" x14ac:dyDescent="0.2">
      <c r="A11" s="248" t="s">
        <v>597</v>
      </c>
      <c r="B11" s="248" t="s">
        <v>461</v>
      </c>
      <c r="C11" s="248" t="s">
        <v>396</v>
      </c>
      <c r="D11" s="263">
        <v>349</v>
      </c>
      <c r="E11" s="248" t="s">
        <v>406</v>
      </c>
      <c r="F11" s="265" t="s">
        <v>669</v>
      </c>
      <c r="G11" s="98" t="s">
        <v>31</v>
      </c>
      <c r="H11" s="98" t="s">
        <v>32</v>
      </c>
      <c r="I11" s="98" t="s">
        <v>33</v>
      </c>
      <c r="J11" s="98" t="s">
        <v>195</v>
      </c>
      <c r="K11" s="98" t="s">
        <v>665</v>
      </c>
      <c r="L11" s="266">
        <v>44794</v>
      </c>
      <c r="M11" s="266">
        <v>44798</v>
      </c>
      <c r="N11" s="265">
        <f>4132.8/2</f>
        <v>2066.4</v>
      </c>
      <c r="O11" s="265">
        <f>4132.8/2</f>
        <v>2066.4</v>
      </c>
      <c r="P11" s="264">
        <f t="shared" si="0"/>
        <v>4132.8</v>
      </c>
      <c r="Q11" s="265">
        <v>5</v>
      </c>
      <c r="R11" s="267">
        <v>120</v>
      </c>
      <c r="S11" s="265">
        <v>0</v>
      </c>
      <c r="T11" s="267">
        <v>0</v>
      </c>
      <c r="U11" s="264">
        <f t="shared" si="1"/>
        <v>600</v>
      </c>
      <c r="V11" s="264">
        <f t="shared" si="2"/>
        <v>4732.8</v>
      </c>
      <c r="W11" s="264">
        <f t="shared" si="3"/>
        <v>4732.8</v>
      </c>
      <c r="X11" s="265"/>
    </row>
    <row r="12" spans="1:24" s="268" customFormat="1" ht="15" x14ac:dyDescent="0.2">
      <c r="A12" s="248" t="s">
        <v>372</v>
      </c>
      <c r="B12" s="248" t="s">
        <v>372</v>
      </c>
      <c r="C12" s="248" t="s">
        <v>75</v>
      </c>
      <c r="D12" s="263">
        <v>0</v>
      </c>
      <c r="E12" s="248" t="s">
        <v>88</v>
      </c>
      <c r="F12" s="265" t="s">
        <v>667</v>
      </c>
      <c r="G12" s="98" t="s">
        <v>31</v>
      </c>
      <c r="H12" s="98" t="s">
        <v>111</v>
      </c>
      <c r="I12" s="98" t="s">
        <v>112</v>
      </c>
      <c r="J12" s="98" t="s">
        <v>38</v>
      </c>
      <c r="K12" s="98" t="s">
        <v>39</v>
      </c>
      <c r="L12" s="266">
        <v>44781</v>
      </c>
      <c r="M12" s="266">
        <v>44782</v>
      </c>
      <c r="N12" s="265">
        <f>(1670.82+834.23)/2</f>
        <v>1252.5250000000001</v>
      </c>
      <c r="O12" s="265">
        <f>(1670.82+834.23)/2</f>
        <v>1252.5250000000001</v>
      </c>
      <c r="P12" s="264">
        <f>SUM(N12:O12)</f>
        <v>2505.0500000000002</v>
      </c>
      <c r="Q12" s="265">
        <v>0</v>
      </c>
      <c r="R12" s="267">
        <v>0</v>
      </c>
      <c r="S12" s="265">
        <v>0</v>
      </c>
      <c r="T12" s="267">
        <v>0</v>
      </c>
      <c r="U12" s="264">
        <f t="shared" si="1"/>
        <v>0</v>
      </c>
      <c r="V12" s="264">
        <f t="shared" si="2"/>
        <v>2505.0500000000002</v>
      </c>
      <c r="W12" s="264">
        <f t="shared" si="3"/>
        <v>2505.0500000000002</v>
      </c>
      <c r="X12" s="265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43009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8" sqref="D8:E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s="268" customFormat="1" ht="15" x14ac:dyDescent="0.2">
      <c r="A5" s="248" t="s">
        <v>372</v>
      </c>
      <c r="B5" s="248" t="s">
        <v>398</v>
      </c>
      <c r="C5" s="248" t="s">
        <v>266</v>
      </c>
      <c r="D5" s="269">
        <v>284</v>
      </c>
      <c r="E5" s="277" t="s">
        <v>674</v>
      </c>
      <c r="F5" s="271" t="s">
        <v>671</v>
      </c>
      <c r="G5" s="98" t="s">
        <v>31</v>
      </c>
      <c r="H5" s="98" t="s">
        <v>32</v>
      </c>
      <c r="I5" s="98" t="s">
        <v>33</v>
      </c>
      <c r="J5" s="273" t="s">
        <v>659</v>
      </c>
      <c r="K5" s="98" t="s">
        <v>660</v>
      </c>
      <c r="L5" s="266">
        <v>44823</v>
      </c>
      <c r="M5" s="266">
        <v>44827</v>
      </c>
      <c r="N5" s="267">
        <f>1212.43/2</f>
        <v>606.21500000000003</v>
      </c>
      <c r="O5" s="267">
        <f>1212.43/2</f>
        <v>606.21500000000003</v>
      </c>
      <c r="P5" s="270">
        <f>SUM(N5:O5)</f>
        <v>1212.43</v>
      </c>
      <c r="Q5" s="271">
        <v>5</v>
      </c>
      <c r="R5" s="267">
        <v>120</v>
      </c>
      <c r="S5" s="271">
        <v>0</v>
      </c>
      <c r="T5" s="267">
        <v>0</v>
      </c>
      <c r="U5" s="270">
        <f>Q5*R5+S5*T5</f>
        <v>600</v>
      </c>
      <c r="V5" s="270">
        <f>P5+U5</f>
        <v>1812.43</v>
      </c>
      <c r="W5" s="270">
        <f>V5</f>
        <v>1812.43</v>
      </c>
      <c r="X5" s="271"/>
    </row>
    <row r="6" spans="1:24" s="268" customFormat="1" ht="15" x14ac:dyDescent="0.2">
      <c r="A6" s="248" t="s">
        <v>250</v>
      </c>
      <c r="B6" s="248" t="s">
        <v>289</v>
      </c>
      <c r="C6" s="248" t="s">
        <v>168</v>
      </c>
      <c r="D6" s="269">
        <v>127</v>
      </c>
      <c r="E6" s="277" t="s">
        <v>675</v>
      </c>
      <c r="F6" s="271" t="s">
        <v>671</v>
      </c>
      <c r="G6" s="98" t="s">
        <v>31</v>
      </c>
      <c r="H6" s="98" t="s">
        <v>32</v>
      </c>
      <c r="I6" s="98" t="s">
        <v>33</v>
      </c>
      <c r="J6" s="273" t="s">
        <v>659</v>
      </c>
      <c r="K6" s="98" t="s">
        <v>660</v>
      </c>
      <c r="L6" s="266">
        <v>44823</v>
      </c>
      <c r="M6" s="266">
        <v>44827</v>
      </c>
      <c r="N6" s="267">
        <f>1212.43/2</f>
        <v>606.21500000000003</v>
      </c>
      <c r="O6" s="267">
        <f>1212.43/2</f>
        <v>606.21500000000003</v>
      </c>
      <c r="P6" s="270">
        <f t="shared" ref="P6:P8" si="0">SUM(N6:O6)</f>
        <v>1212.43</v>
      </c>
      <c r="Q6" s="271">
        <v>5</v>
      </c>
      <c r="R6" s="267">
        <v>120</v>
      </c>
      <c r="S6" s="271">
        <v>0</v>
      </c>
      <c r="T6" s="267">
        <v>0</v>
      </c>
      <c r="U6" s="270">
        <f t="shared" ref="U6:U8" si="1">Q6*R6+S6*T6</f>
        <v>600</v>
      </c>
      <c r="V6" s="270">
        <f t="shared" ref="V6:V8" si="2">P6+U6</f>
        <v>1812.43</v>
      </c>
      <c r="W6" s="270">
        <f t="shared" ref="W6:W8" si="3">V6</f>
        <v>1812.43</v>
      </c>
      <c r="X6" s="271"/>
    </row>
    <row r="7" spans="1:24" s="268" customFormat="1" ht="15" x14ac:dyDescent="0.2">
      <c r="A7" s="248" t="s">
        <v>250</v>
      </c>
      <c r="B7" s="248" t="s">
        <v>258</v>
      </c>
      <c r="C7" s="248" t="s">
        <v>609</v>
      </c>
      <c r="D7" s="269">
        <v>372</v>
      </c>
      <c r="E7" s="277" t="s">
        <v>676</v>
      </c>
      <c r="F7" s="271" t="s">
        <v>672</v>
      </c>
      <c r="G7" s="98" t="s">
        <v>31</v>
      </c>
      <c r="H7" s="98" t="s">
        <v>32</v>
      </c>
      <c r="I7" s="98" t="s">
        <v>33</v>
      </c>
      <c r="J7" s="273" t="s">
        <v>38</v>
      </c>
      <c r="K7" s="273" t="s">
        <v>39</v>
      </c>
      <c r="L7" s="266">
        <v>44825</v>
      </c>
      <c r="M7" s="266">
        <v>44826</v>
      </c>
      <c r="N7" s="267">
        <v>1453.97</v>
      </c>
      <c r="O7" s="267">
        <v>2364.62</v>
      </c>
      <c r="P7" s="270">
        <f t="shared" si="0"/>
        <v>3818.59</v>
      </c>
      <c r="Q7" s="271">
        <v>2</v>
      </c>
      <c r="R7" s="267">
        <v>120</v>
      </c>
      <c r="S7" s="271">
        <v>0</v>
      </c>
      <c r="T7" s="267">
        <v>0</v>
      </c>
      <c r="U7" s="270">
        <f t="shared" si="1"/>
        <v>240</v>
      </c>
      <c r="V7" s="270">
        <f t="shared" si="2"/>
        <v>4058.59</v>
      </c>
      <c r="W7" s="270">
        <f t="shared" si="3"/>
        <v>4058.59</v>
      </c>
      <c r="X7" s="271"/>
    </row>
    <row r="8" spans="1:24" s="268" customFormat="1" ht="15" x14ac:dyDescent="0.2">
      <c r="A8" s="248" t="s">
        <v>250</v>
      </c>
      <c r="B8" s="248" t="s">
        <v>250</v>
      </c>
      <c r="C8" s="248" t="s">
        <v>670</v>
      </c>
      <c r="D8" s="269">
        <v>383</v>
      </c>
      <c r="E8" s="277" t="s">
        <v>677</v>
      </c>
      <c r="F8" s="272" t="s">
        <v>673</v>
      </c>
      <c r="G8" s="98" t="s">
        <v>31</v>
      </c>
      <c r="H8" s="98" t="s">
        <v>32</v>
      </c>
      <c r="I8" s="98" t="s">
        <v>33</v>
      </c>
      <c r="J8" s="273" t="s">
        <v>38</v>
      </c>
      <c r="K8" s="273" t="s">
        <v>39</v>
      </c>
      <c r="L8" s="266">
        <v>44832</v>
      </c>
      <c r="M8" s="266">
        <v>44833</v>
      </c>
      <c r="N8" s="267">
        <f>2113.03/2</f>
        <v>1056.5150000000001</v>
      </c>
      <c r="O8" s="267">
        <f>2113.03/2</f>
        <v>1056.5150000000001</v>
      </c>
      <c r="P8" s="270">
        <f t="shared" si="0"/>
        <v>2113.0300000000002</v>
      </c>
      <c r="Q8" s="271">
        <v>2</v>
      </c>
      <c r="R8" s="267">
        <v>120</v>
      </c>
      <c r="S8" s="271">
        <v>0</v>
      </c>
      <c r="T8" s="267">
        <v>0</v>
      </c>
      <c r="U8" s="270">
        <f t="shared" si="1"/>
        <v>240</v>
      </c>
      <c r="V8" s="270">
        <f t="shared" si="2"/>
        <v>2353.0300000000002</v>
      </c>
      <c r="W8" s="270">
        <f t="shared" si="3"/>
        <v>2353.0300000000002</v>
      </c>
      <c r="X8" s="271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s="268" customFormat="1" ht="15" x14ac:dyDescent="0.2">
      <c r="A5" s="248" t="s">
        <v>250</v>
      </c>
      <c r="B5" s="248" t="s">
        <v>250</v>
      </c>
      <c r="C5" s="248" t="s">
        <v>670</v>
      </c>
      <c r="D5" s="274">
        <v>383</v>
      </c>
      <c r="E5" s="277" t="s">
        <v>677</v>
      </c>
      <c r="F5" s="276" t="s">
        <v>678</v>
      </c>
      <c r="G5" s="98" t="s">
        <v>31</v>
      </c>
      <c r="H5" s="98" t="s">
        <v>32</v>
      </c>
      <c r="I5" s="98" t="s">
        <v>33</v>
      </c>
      <c r="J5" s="281" t="s">
        <v>106</v>
      </c>
      <c r="K5" s="281" t="s">
        <v>107</v>
      </c>
      <c r="L5" s="266">
        <v>44853</v>
      </c>
      <c r="M5" s="266">
        <v>44854</v>
      </c>
      <c r="N5" s="267">
        <f>1104.62/2</f>
        <v>552.30999999999995</v>
      </c>
      <c r="O5" s="267">
        <f>1104.62/2</f>
        <v>552.30999999999995</v>
      </c>
      <c r="P5" s="275">
        <f>SUM(N5:O5)</f>
        <v>1104.6199999999999</v>
      </c>
      <c r="Q5" s="276">
        <v>2</v>
      </c>
      <c r="R5" s="267">
        <v>120</v>
      </c>
      <c r="S5" s="276">
        <v>0</v>
      </c>
      <c r="T5" s="267">
        <v>0</v>
      </c>
      <c r="U5" s="275">
        <f>Q5*R5+S5*T5</f>
        <v>240</v>
      </c>
      <c r="V5" s="275">
        <f>P5+U5</f>
        <v>1344.62</v>
      </c>
      <c r="W5" s="275">
        <f>V5</f>
        <v>1344.62</v>
      </c>
      <c r="X5" s="276"/>
    </row>
    <row r="6" spans="1:24" s="268" customFormat="1" ht="15" x14ac:dyDescent="0.2">
      <c r="A6" s="285" t="s">
        <v>250</v>
      </c>
      <c r="B6" s="248" t="s">
        <v>322</v>
      </c>
      <c r="C6" s="248" t="s">
        <v>323</v>
      </c>
      <c r="D6" s="274">
        <v>87</v>
      </c>
      <c r="E6" s="252" t="s">
        <v>648</v>
      </c>
      <c r="F6" s="276" t="s">
        <v>678</v>
      </c>
      <c r="G6" s="98" t="s">
        <v>31</v>
      </c>
      <c r="H6" s="98" t="s">
        <v>32</v>
      </c>
      <c r="I6" s="98" t="s">
        <v>33</v>
      </c>
      <c r="J6" s="281" t="s">
        <v>106</v>
      </c>
      <c r="K6" s="281" t="s">
        <v>107</v>
      </c>
      <c r="L6" s="266">
        <v>44853</v>
      </c>
      <c r="M6" s="266">
        <v>44854</v>
      </c>
      <c r="N6" s="267">
        <f>1104.62/2</f>
        <v>552.30999999999995</v>
      </c>
      <c r="O6" s="267">
        <f t="shared" ref="O6:O7" si="0">1104.62/2</f>
        <v>552.30999999999995</v>
      </c>
      <c r="P6" s="275">
        <f t="shared" ref="P6:P7" si="1">SUM(N6:O6)</f>
        <v>1104.6199999999999</v>
      </c>
      <c r="Q6" s="276">
        <v>2</v>
      </c>
      <c r="R6" s="267">
        <v>120</v>
      </c>
      <c r="S6" s="276">
        <v>0</v>
      </c>
      <c r="T6" s="267">
        <v>0</v>
      </c>
      <c r="U6" s="275">
        <f t="shared" ref="U6:U7" si="2">Q6*R6+S6*T6</f>
        <v>240</v>
      </c>
      <c r="V6" s="275">
        <f t="shared" ref="V6:V7" si="3">P6+U6</f>
        <v>1344.62</v>
      </c>
      <c r="W6" s="275">
        <f t="shared" ref="W6:W7" si="4">V6</f>
        <v>1344.62</v>
      </c>
      <c r="X6" s="276"/>
    </row>
    <row r="7" spans="1:24" s="268" customFormat="1" ht="15" x14ac:dyDescent="0.2">
      <c r="A7" s="248" t="s">
        <v>250</v>
      </c>
      <c r="B7" s="248" t="s">
        <v>289</v>
      </c>
      <c r="C7" s="248" t="s">
        <v>236</v>
      </c>
      <c r="D7" s="274">
        <v>82</v>
      </c>
      <c r="E7" s="281" t="s">
        <v>679</v>
      </c>
      <c r="F7" s="276" t="s">
        <v>678</v>
      </c>
      <c r="G7" s="98" t="s">
        <v>31</v>
      </c>
      <c r="H7" s="98" t="s">
        <v>32</v>
      </c>
      <c r="I7" s="98" t="s">
        <v>33</v>
      </c>
      <c r="J7" s="281" t="s">
        <v>106</v>
      </c>
      <c r="K7" s="281" t="s">
        <v>107</v>
      </c>
      <c r="L7" s="266">
        <v>44853</v>
      </c>
      <c r="M7" s="266">
        <v>44854</v>
      </c>
      <c r="N7" s="267">
        <f>1104.62/2</f>
        <v>552.30999999999995</v>
      </c>
      <c r="O7" s="267">
        <f t="shared" si="0"/>
        <v>552.30999999999995</v>
      </c>
      <c r="P7" s="275">
        <f t="shared" si="1"/>
        <v>1104.6199999999999</v>
      </c>
      <c r="Q7" s="276">
        <v>2</v>
      </c>
      <c r="R7" s="267">
        <v>120</v>
      </c>
      <c r="S7" s="276">
        <v>0</v>
      </c>
      <c r="T7" s="267">
        <v>0</v>
      </c>
      <c r="U7" s="275">
        <f t="shared" si="2"/>
        <v>240</v>
      </c>
      <c r="V7" s="275">
        <f t="shared" si="3"/>
        <v>1344.62</v>
      </c>
      <c r="W7" s="275">
        <f t="shared" si="4"/>
        <v>1344.62</v>
      </c>
      <c r="X7" s="276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6" sqref="D6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s="268" customFormat="1" ht="15" x14ac:dyDescent="0.2">
      <c r="A5" s="248" t="s">
        <v>229</v>
      </c>
      <c r="B5" s="248" t="s">
        <v>301</v>
      </c>
      <c r="C5" s="248" t="s">
        <v>608</v>
      </c>
      <c r="D5" s="278">
        <v>355</v>
      </c>
      <c r="E5" s="248" t="s">
        <v>313</v>
      </c>
      <c r="F5" s="248" t="s">
        <v>681</v>
      </c>
      <c r="G5" s="98" t="s">
        <v>31</v>
      </c>
      <c r="H5" s="98" t="s">
        <v>32</v>
      </c>
      <c r="I5" s="98" t="s">
        <v>33</v>
      </c>
      <c r="J5" s="285" t="s">
        <v>38</v>
      </c>
      <c r="K5" s="285" t="s">
        <v>39</v>
      </c>
      <c r="L5" s="266">
        <v>44881</v>
      </c>
      <c r="M5" s="266">
        <v>44884</v>
      </c>
      <c r="N5" s="267">
        <v>2113.0300000000002</v>
      </c>
      <c r="O5" s="267">
        <v>2364.62</v>
      </c>
      <c r="P5" s="267">
        <f>SUM(N5:O5)</f>
        <v>4477.6499999999996</v>
      </c>
      <c r="Q5" s="280">
        <v>4</v>
      </c>
      <c r="R5" s="267">
        <v>120</v>
      </c>
      <c r="S5" s="280">
        <v>0</v>
      </c>
      <c r="T5" s="267">
        <v>0</v>
      </c>
      <c r="U5" s="279">
        <f>Q5*R5+S5*T5</f>
        <v>480</v>
      </c>
      <c r="V5" s="279">
        <f>P5+U5</f>
        <v>4957.6499999999996</v>
      </c>
      <c r="W5" s="279">
        <f>V5</f>
        <v>4957.6499999999996</v>
      </c>
      <c r="X5" s="280"/>
    </row>
    <row r="6" spans="1:24" s="268" customFormat="1" ht="15" x14ac:dyDescent="0.2">
      <c r="A6" s="248" t="s">
        <v>229</v>
      </c>
      <c r="B6" s="248" t="s">
        <v>215</v>
      </c>
      <c r="C6" s="248" t="s">
        <v>48</v>
      </c>
      <c r="D6" s="278">
        <v>56</v>
      </c>
      <c r="E6" s="248" t="s">
        <v>615</v>
      </c>
      <c r="F6" s="248" t="s">
        <v>680</v>
      </c>
      <c r="G6" s="98" t="s">
        <v>31</v>
      </c>
      <c r="H6" s="98" t="s">
        <v>32</v>
      </c>
      <c r="I6" s="98" t="s">
        <v>33</v>
      </c>
      <c r="J6" s="285" t="s">
        <v>425</v>
      </c>
      <c r="K6" s="285" t="s">
        <v>426</v>
      </c>
      <c r="L6" s="266">
        <v>44872</v>
      </c>
      <c r="M6" s="266">
        <v>44875</v>
      </c>
      <c r="N6" s="267">
        <f>1908.15/2</f>
        <v>954.07500000000005</v>
      </c>
      <c r="O6" s="267">
        <f>1908.15/2</f>
        <v>954.07500000000005</v>
      </c>
      <c r="P6" s="267">
        <f t="shared" ref="P6:P11" si="0">SUM(N6:O6)</f>
        <v>1908.15</v>
      </c>
      <c r="Q6" s="280">
        <v>10</v>
      </c>
      <c r="R6" s="267">
        <v>120</v>
      </c>
      <c r="S6" s="280">
        <v>0</v>
      </c>
      <c r="T6" s="267">
        <v>0</v>
      </c>
      <c r="U6" s="279">
        <f t="shared" ref="U6:U11" si="1">Q6*R6+S6*T6</f>
        <v>1200</v>
      </c>
      <c r="V6" s="279">
        <f t="shared" ref="V6:V11" si="2">P6+U6</f>
        <v>3108.15</v>
      </c>
      <c r="W6" s="279">
        <f t="shared" ref="W6:W11" si="3">V6</f>
        <v>3108.15</v>
      </c>
      <c r="X6" s="280"/>
    </row>
    <row r="7" spans="1:24" s="268" customFormat="1" ht="15" x14ac:dyDescent="0.2">
      <c r="A7" s="248" t="s">
        <v>229</v>
      </c>
      <c r="B7" s="248" t="s">
        <v>229</v>
      </c>
      <c r="C7" s="248" t="s">
        <v>412</v>
      </c>
      <c r="D7" s="278">
        <v>0</v>
      </c>
      <c r="E7" s="248" t="s">
        <v>561</v>
      </c>
      <c r="F7" s="248" t="s">
        <v>681</v>
      </c>
      <c r="G7" s="98" t="s">
        <v>31</v>
      </c>
      <c r="H7" s="98" t="s">
        <v>32</v>
      </c>
      <c r="I7" s="98" t="s">
        <v>33</v>
      </c>
      <c r="J7" s="285" t="s">
        <v>38</v>
      </c>
      <c r="K7" s="285" t="s">
        <v>39</v>
      </c>
      <c r="L7" s="266">
        <v>44881</v>
      </c>
      <c r="M7" s="266">
        <v>44884</v>
      </c>
      <c r="N7" s="267">
        <v>2113.0300000000002</v>
      </c>
      <c r="O7" s="267">
        <v>2364.62</v>
      </c>
      <c r="P7" s="267">
        <f t="shared" si="0"/>
        <v>4477.6499999999996</v>
      </c>
      <c r="Q7" s="280">
        <v>0</v>
      </c>
      <c r="R7" s="267">
        <v>0</v>
      </c>
      <c r="S7" s="280">
        <v>0</v>
      </c>
      <c r="T7" s="267">
        <v>0</v>
      </c>
      <c r="U7" s="279">
        <f t="shared" si="1"/>
        <v>0</v>
      </c>
      <c r="V7" s="279">
        <f t="shared" si="2"/>
        <v>4477.6499999999996</v>
      </c>
      <c r="W7" s="279">
        <f t="shared" si="3"/>
        <v>4477.6499999999996</v>
      </c>
      <c r="X7" s="280"/>
    </row>
    <row r="8" spans="1:24" s="268" customFormat="1" ht="15" x14ac:dyDescent="0.2">
      <c r="A8" s="285" t="s">
        <v>250</v>
      </c>
      <c r="B8" s="248" t="s">
        <v>212</v>
      </c>
      <c r="C8" s="248" t="s">
        <v>397</v>
      </c>
      <c r="D8" s="278">
        <v>345</v>
      </c>
      <c r="E8" s="252" t="s">
        <v>650</v>
      </c>
      <c r="F8" s="248" t="s">
        <v>682</v>
      </c>
      <c r="G8" s="98" t="s">
        <v>31</v>
      </c>
      <c r="H8" s="98" t="s">
        <v>32</v>
      </c>
      <c r="I8" s="98" t="s">
        <v>33</v>
      </c>
      <c r="J8" s="285" t="s">
        <v>38</v>
      </c>
      <c r="K8" s="285" t="s">
        <v>39</v>
      </c>
      <c r="L8" s="266">
        <v>44873</v>
      </c>
      <c r="M8" s="266">
        <v>44873</v>
      </c>
      <c r="N8" s="267">
        <f>2930.51/2</f>
        <v>1465.2550000000001</v>
      </c>
      <c r="O8" s="267">
        <f>2930.51/2</f>
        <v>1465.2550000000001</v>
      </c>
      <c r="P8" s="267">
        <f t="shared" si="0"/>
        <v>2930.51</v>
      </c>
      <c r="Q8" s="280">
        <v>1</v>
      </c>
      <c r="R8" s="267">
        <v>120</v>
      </c>
      <c r="S8" s="280">
        <v>0</v>
      </c>
      <c r="T8" s="267">
        <v>0</v>
      </c>
      <c r="U8" s="279">
        <f t="shared" si="1"/>
        <v>120</v>
      </c>
      <c r="V8" s="279">
        <f t="shared" si="2"/>
        <v>3050.51</v>
      </c>
      <c r="W8" s="279">
        <f t="shared" si="3"/>
        <v>3050.51</v>
      </c>
      <c r="X8" s="280"/>
    </row>
    <row r="9" spans="1:24" s="268" customFormat="1" ht="15" x14ac:dyDescent="0.2">
      <c r="A9" s="248" t="s">
        <v>372</v>
      </c>
      <c r="B9" s="248" t="s">
        <v>238</v>
      </c>
      <c r="C9" s="248" t="s">
        <v>135</v>
      </c>
      <c r="D9" s="278">
        <v>230</v>
      </c>
      <c r="E9" s="248" t="s">
        <v>152</v>
      </c>
      <c r="F9" s="248" t="s">
        <v>682</v>
      </c>
      <c r="G9" s="98" t="s">
        <v>31</v>
      </c>
      <c r="H9" s="98" t="s">
        <v>32</v>
      </c>
      <c r="I9" s="98" t="s">
        <v>33</v>
      </c>
      <c r="J9" s="285" t="s">
        <v>38</v>
      </c>
      <c r="K9" s="285" t="s">
        <v>39</v>
      </c>
      <c r="L9" s="266">
        <v>44873</v>
      </c>
      <c r="M9" s="266">
        <v>44873</v>
      </c>
      <c r="N9" s="267">
        <f>3433/2</f>
        <v>1716.5</v>
      </c>
      <c r="O9" s="267">
        <f>3433/2</f>
        <v>1716.5</v>
      </c>
      <c r="P9" s="267">
        <f t="shared" si="0"/>
        <v>3433</v>
      </c>
      <c r="Q9" s="280">
        <v>1</v>
      </c>
      <c r="R9" s="267">
        <v>120</v>
      </c>
      <c r="S9" s="280">
        <v>0</v>
      </c>
      <c r="T9" s="267">
        <v>0</v>
      </c>
      <c r="U9" s="279">
        <f t="shared" si="1"/>
        <v>120</v>
      </c>
      <c r="V9" s="279">
        <f t="shared" si="2"/>
        <v>3553</v>
      </c>
      <c r="W9" s="279">
        <f t="shared" si="3"/>
        <v>3553</v>
      </c>
      <c r="X9" s="280"/>
    </row>
    <row r="10" spans="1:24" s="268" customFormat="1" ht="15" x14ac:dyDescent="0.2">
      <c r="A10" s="285" t="s">
        <v>250</v>
      </c>
      <c r="B10" s="248" t="s">
        <v>212</v>
      </c>
      <c r="C10" s="248" t="s">
        <v>612</v>
      </c>
      <c r="D10" s="278">
        <v>365</v>
      </c>
      <c r="E10" s="285" t="s">
        <v>52</v>
      </c>
      <c r="F10" s="248" t="s">
        <v>683</v>
      </c>
      <c r="G10" s="98" t="s">
        <v>31</v>
      </c>
      <c r="H10" s="98" t="s">
        <v>32</v>
      </c>
      <c r="I10" s="98" t="s">
        <v>33</v>
      </c>
      <c r="J10" s="285" t="s">
        <v>32</v>
      </c>
      <c r="K10" s="285" t="s">
        <v>390</v>
      </c>
      <c r="L10" s="266">
        <v>44881</v>
      </c>
      <c r="M10" s="266">
        <v>44882</v>
      </c>
      <c r="N10" s="267">
        <f>2265.36/2</f>
        <v>1132.68</v>
      </c>
      <c r="O10" s="267">
        <f>2265.36/2</f>
        <v>1132.68</v>
      </c>
      <c r="P10" s="267">
        <f t="shared" si="0"/>
        <v>2265.36</v>
      </c>
      <c r="Q10" s="280">
        <v>2</v>
      </c>
      <c r="R10" s="267">
        <v>120</v>
      </c>
      <c r="S10" s="280">
        <v>0</v>
      </c>
      <c r="T10" s="267">
        <v>0</v>
      </c>
      <c r="U10" s="279">
        <f t="shared" si="1"/>
        <v>240</v>
      </c>
      <c r="V10" s="279">
        <f t="shared" si="2"/>
        <v>2505.36</v>
      </c>
      <c r="W10" s="279">
        <f t="shared" si="3"/>
        <v>2505.36</v>
      </c>
      <c r="X10" s="280"/>
    </row>
    <row r="11" spans="1:24" s="268" customFormat="1" ht="15" x14ac:dyDescent="0.2">
      <c r="A11" s="285" t="s">
        <v>250</v>
      </c>
      <c r="B11" s="248" t="s">
        <v>212</v>
      </c>
      <c r="C11" s="248" t="s">
        <v>270</v>
      </c>
      <c r="D11" s="278" t="s">
        <v>173</v>
      </c>
      <c r="E11" s="252" t="s">
        <v>599</v>
      </c>
      <c r="F11" s="248" t="s">
        <v>683</v>
      </c>
      <c r="G11" s="98" t="s">
        <v>31</v>
      </c>
      <c r="H11" s="98" t="s">
        <v>32</v>
      </c>
      <c r="I11" s="98" t="s">
        <v>33</v>
      </c>
      <c r="J11" s="285" t="s">
        <v>32</v>
      </c>
      <c r="K11" s="285" t="s">
        <v>390</v>
      </c>
      <c r="L11" s="266">
        <v>44881</v>
      </c>
      <c r="M11" s="266">
        <v>44882</v>
      </c>
      <c r="N11" s="267">
        <f>2265.36/2</f>
        <v>1132.68</v>
      </c>
      <c r="O11" s="267">
        <f>2265.36/2</f>
        <v>1132.68</v>
      </c>
      <c r="P11" s="267">
        <f t="shared" si="0"/>
        <v>2265.36</v>
      </c>
      <c r="Q11" s="280">
        <v>2</v>
      </c>
      <c r="R11" s="267">
        <v>120</v>
      </c>
      <c r="S11" s="280">
        <v>0</v>
      </c>
      <c r="T11" s="267">
        <v>0</v>
      </c>
      <c r="U11" s="279">
        <f t="shared" si="1"/>
        <v>240</v>
      </c>
      <c r="V11" s="279">
        <f t="shared" si="2"/>
        <v>2505.36</v>
      </c>
      <c r="W11" s="279">
        <f t="shared" si="3"/>
        <v>2505.36</v>
      </c>
      <c r="X11" s="280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s="268" customFormat="1" ht="15" x14ac:dyDescent="0.2">
      <c r="A5" s="248" t="s">
        <v>229</v>
      </c>
      <c r="B5" s="248" t="s">
        <v>227</v>
      </c>
      <c r="C5" s="289" t="s">
        <v>581</v>
      </c>
      <c r="D5" s="282">
        <v>357</v>
      </c>
      <c r="E5" s="289" t="s">
        <v>262</v>
      </c>
      <c r="F5" s="289" t="s">
        <v>686</v>
      </c>
      <c r="G5" s="98" t="s">
        <v>31</v>
      </c>
      <c r="H5" s="98" t="s">
        <v>32</v>
      </c>
      <c r="I5" s="98" t="s">
        <v>33</v>
      </c>
      <c r="J5" s="285" t="s">
        <v>38</v>
      </c>
      <c r="K5" s="285" t="s">
        <v>39</v>
      </c>
      <c r="L5" s="266">
        <v>44908</v>
      </c>
      <c r="M5" s="266">
        <v>44910</v>
      </c>
      <c r="N5" s="267">
        <f>1670.62/2</f>
        <v>835.31</v>
      </c>
      <c r="O5" s="267">
        <f>1670.62/2</f>
        <v>835.31</v>
      </c>
      <c r="P5" s="267">
        <f>SUM(N5:O5)</f>
        <v>1670.62</v>
      </c>
      <c r="Q5" s="284">
        <v>3</v>
      </c>
      <c r="R5" s="267">
        <v>120</v>
      </c>
      <c r="S5" s="284">
        <v>0</v>
      </c>
      <c r="T5" s="267">
        <v>0</v>
      </c>
      <c r="U5" s="283">
        <f>Q5*R5+S5*T5</f>
        <v>360</v>
      </c>
      <c r="V5" s="283">
        <f>P5+U5</f>
        <v>2030.62</v>
      </c>
      <c r="W5" s="283">
        <f>V5</f>
        <v>2030.62</v>
      </c>
      <c r="X5" s="284"/>
    </row>
    <row r="6" spans="1:24" s="268" customFormat="1" ht="15" x14ac:dyDescent="0.2">
      <c r="A6" s="248" t="s">
        <v>250</v>
      </c>
      <c r="B6" s="248" t="s">
        <v>234</v>
      </c>
      <c r="C6" s="289" t="s">
        <v>450</v>
      </c>
      <c r="D6" s="282">
        <v>300</v>
      </c>
      <c r="E6" s="289" t="s">
        <v>687</v>
      </c>
      <c r="F6" s="289" t="s">
        <v>685</v>
      </c>
      <c r="G6" s="98" t="s">
        <v>31</v>
      </c>
      <c r="H6" s="98" t="s">
        <v>32</v>
      </c>
      <c r="I6" s="98" t="s">
        <v>33</v>
      </c>
      <c r="J6" s="289" t="s">
        <v>32</v>
      </c>
      <c r="K6" s="289" t="s">
        <v>390</v>
      </c>
      <c r="L6" s="266">
        <v>44899</v>
      </c>
      <c r="M6" s="266">
        <v>44901</v>
      </c>
      <c r="N6" s="267">
        <f>3264.36/2</f>
        <v>1632.18</v>
      </c>
      <c r="O6" s="267">
        <f>3264.36/2</f>
        <v>1632.18</v>
      </c>
      <c r="P6" s="267">
        <f t="shared" ref="P6:P7" si="0">SUM(N6:O6)</f>
        <v>3264.36</v>
      </c>
      <c r="Q6" s="284">
        <v>3</v>
      </c>
      <c r="R6" s="267">
        <v>120</v>
      </c>
      <c r="S6" s="284">
        <v>0</v>
      </c>
      <c r="T6" s="267">
        <v>0</v>
      </c>
      <c r="U6" s="283">
        <f t="shared" ref="U6:U7" si="1">Q6*R6+S6*T6</f>
        <v>360</v>
      </c>
      <c r="V6" s="283">
        <f t="shared" ref="V6:V7" si="2">P6+U6</f>
        <v>3624.36</v>
      </c>
      <c r="W6" s="283">
        <f t="shared" ref="W6:W7" si="3">V6</f>
        <v>3624.36</v>
      </c>
      <c r="X6" s="284"/>
    </row>
    <row r="7" spans="1:24" s="268" customFormat="1" ht="15" x14ac:dyDescent="0.2">
      <c r="A7" s="248" t="s">
        <v>250</v>
      </c>
      <c r="B7" s="248" t="s">
        <v>250</v>
      </c>
      <c r="C7" s="248" t="s">
        <v>378</v>
      </c>
      <c r="D7" s="282"/>
      <c r="E7" s="289" t="s">
        <v>55</v>
      </c>
      <c r="F7" s="289" t="s">
        <v>684</v>
      </c>
      <c r="G7" s="98" t="s">
        <v>31</v>
      </c>
      <c r="H7" s="98" t="s">
        <v>32</v>
      </c>
      <c r="I7" s="98" t="s">
        <v>33</v>
      </c>
      <c r="J7" s="289" t="s">
        <v>121</v>
      </c>
      <c r="K7" s="289" t="s">
        <v>62</v>
      </c>
      <c r="L7" s="266">
        <v>44894</v>
      </c>
      <c r="M7" s="266">
        <v>44898</v>
      </c>
      <c r="N7" s="267">
        <f>1879.42/2</f>
        <v>939.71</v>
      </c>
      <c r="O7" s="267">
        <f>1879.42/2</f>
        <v>939.71</v>
      </c>
      <c r="P7" s="267">
        <f t="shared" si="0"/>
        <v>1879.42</v>
      </c>
      <c r="Q7" s="284">
        <v>0</v>
      </c>
      <c r="R7" s="267">
        <v>0</v>
      </c>
      <c r="S7" s="284">
        <v>0</v>
      </c>
      <c r="T7" s="267">
        <v>0</v>
      </c>
      <c r="U7" s="283">
        <f t="shared" si="1"/>
        <v>0</v>
      </c>
      <c r="V7" s="283">
        <f t="shared" si="2"/>
        <v>1879.42</v>
      </c>
      <c r="W7" s="283">
        <f t="shared" si="3"/>
        <v>1879.42</v>
      </c>
      <c r="X7" s="28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E37" sqref="E3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s="268" customFormat="1" ht="15" x14ac:dyDescent="0.2">
      <c r="A5" s="248"/>
      <c r="B5" s="248"/>
      <c r="C5" s="289"/>
      <c r="D5" s="286"/>
      <c r="E5" s="289"/>
      <c r="F5" s="289"/>
      <c r="G5" s="98"/>
      <c r="H5" s="98"/>
      <c r="I5" s="98"/>
      <c r="J5" s="285"/>
      <c r="K5" s="285"/>
      <c r="L5" s="266"/>
      <c r="M5" s="266"/>
      <c r="N5" s="267"/>
      <c r="O5" s="267"/>
      <c r="P5" s="267">
        <f>SUM(N5:O5)</f>
        <v>0</v>
      </c>
      <c r="Q5" s="288">
        <v>0</v>
      </c>
      <c r="R5" s="267">
        <v>0</v>
      </c>
      <c r="S5" s="288">
        <v>0</v>
      </c>
      <c r="T5" s="267">
        <v>0</v>
      </c>
      <c r="U5" s="287">
        <f>Q5*R5+S5*T5</f>
        <v>0</v>
      </c>
      <c r="V5" s="287">
        <f>P5+U5</f>
        <v>0</v>
      </c>
      <c r="W5" s="287">
        <f>V5</f>
        <v>0</v>
      </c>
      <c r="X5" s="288"/>
    </row>
    <row r="6" spans="1:24" s="268" customFormat="1" ht="15" x14ac:dyDescent="0.2">
      <c r="A6" s="248"/>
      <c r="B6" s="248"/>
      <c r="C6" s="289"/>
      <c r="D6" s="286"/>
      <c r="E6" s="289"/>
      <c r="F6" s="289"/>
      <c r="G6" s="98"/>
      <c r="H6" s="98"/>
      <c r="I6" s="98"/>
      <c r="J6" s="289"/>
      <c r="K6" s="289"/>
      <c r="L6" s="266"/>
      <c r="M6" s="266"/>
      <c r="N6" s="267"/>
      <c r="O6" s="267"/>
      <c r="P6" s="267">
        <f t="shared" ref="P6:P7" si="0">SUM(N6:O6)</f>
        <v>0</v>
      </c>
      <c r="Q6" s="288">
        <v>0</v>
      </c>
      <c r="R6" s="267">
        <v>0</v>
      </c>
      <c r="S6" s="288">
        <v>0</v>
      </c>
      <c r="T6" s="267">
        <v>0</v>
      </c>
      <c r="U6" s="287">
        <f t="shared" ref="U6:U7" si="1">Q6*R6+S6*T6</f>
        <v>0</v>
      </c>
      <c r="V6" s="287">
        <f t="shared" ref="V6:V7" si="2">P6+U6</f>
        <v>0</v>
      </c>
      <c r="W6" s="287">
        <f t="shared" ref="W6:W7" si="3">V6</f>
        <v>0</v>
      </c>
      <c r="X6" s="288"/>
    </row>
    <row r="7" spans="1:24" s="268" customFormat="1" ht="15" x14ac:dyDescent="0.2">
      <c r="A7" s="248"/>
      <c r="B7" s="248"/>
      <c r="C7" s="248"/>
      <c r="D7" s="286"/>
      <c r="E7" s="289"/>
      <c r="F7" s="289"/>
      <c r="G7" s="98"/>
      <c r="H7" s="98"/>
      <c r="I7" s="98"/>
      <c r="J7" s="289"/>
      <c r="K7" s="289"/>
      <c r="L7" s="266"/>
      <c r="M7" s="266"/>
      <c r="N7" s="267"/>
      <c r="O7" s="267"/>
      <c r="P7" s="267">
        <f t="shared" si="0"/>
        <v>0</v>
      </c>
      <c r="Q7" s="288">
        <v>0</v>
      </c>
      <c r="R7" s="267">
        <v>0</v>
      </c>
      <c r="S7" s="288">
        <v>0</v>
      </c>
      <c r="T7" s="267">
        <v>0</v>
      </c>
      <c r="U7" s="287">
        <f t="shared" si="1"/>
        <v>0</v>
      </c>
      <c r="V7" s="287">
        <f t="shared" si="2"/>
        <v>0</v>
      </c>
      <c r="W7" s="287">
        <f t="shared" si="3"/>
        <v>0</v>
      </c>
      <c r="X7" s="28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C1"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s="268" customFormat="1" ht="15" x14ac:dyDescent="0.2">
      <c r="A5" s="296" t="s">
        <v>250</v>
      </c>
      <c r="B5" s="296" t="s">
        <v>250</v>
      </c>
      <c r="C5" s="289" t="s">
        <v>378</v>
      </c>
      <c r="D5" s="290"/>
      <c r="E5" s="289" t="s">
        <v>55</v>
      </c>
      <c r="F5" s="296" t="s">
        <v>688</v>
      </c>
      <c r="G5" s="98" t="s">
        <v>31</v>
      </c>
      <c r="H5" s="98" t="s">
        <v>32</v>
      </c>
      <c r="I5" s="98" t="s">
        <v>33</v>
      </c>
      <c r="J5" s="296" t="s">
        <v>32</v>
      </c>
      <c r="K5" s="296" t="s">
        <v>390</v>
      </c>
      <c r="L5" s="266">
        <v>45001</v>
      </c>
      <c r="M5" s="266">
        <v>45002</v>
      </c>
      <c r="N5" s="267">
        <f t="shared" ref="N5:O7" si="0">936.14/2</f>
        <v>468.07</v>
      </c>
      <c r="O5" s="267">
        <f t="shared" si="0"/>
        <v>468.07</v>
      </c>
      <c r="P5" s="267">
        <f>SUM(N5:O5)</f>
        <v>936.14</v>
      </c>
      <c r="Q5" s="292">
        <v>0</v>
      </c>
      <c r="R5" s="267">
        <v>0</v>
      </c>
      <c r="S5" s="292">
        <v>0</v>
      </c>
      <c r="T5" s="267">
        <v>0</v>
      </c>
      <c r="U5" s="291">
        <f>Q5*R5+S5*T5</f>
        <v>0</v>
      </c>
      <c r="V5" s="291">
        <f>P5+U5</f>
        <v>936.14</v>
      </c>
      <c r="W5" s="291">
        <f>V5</f>
        <v>936.14</v>
      </c>
      <c r="X5" s="292"/>
    </row>
    <row r="6" spans="1:24" s="268" customFormat="1" ht="15" x14ac:dyDescent="0.2">
      <c r="A6" s="296" t="s">
        <v>250</v>
      </c>
      <c r="B6" s="248" t="s">
        <v>212</v>
      </c>
      <c r="C6" s="289" t="s">
        <v>612</v>
      </c>
      <c r="D6" s="290">
        <v>365</v>
      </c>
      <c r="E6" s="285" t="s">
        <v>52</v>
      </c>
      <c r="F6" s="296" t="s">
        <v>688</v>
      </c>
      <c r="G6" s="98" t="s">
        <v>31</v>
      </c>
      <c r="H6" s="98" t="s">
        <v>32</v>
      </c>
      <c r="I6" s="98" t="s">
        <v>33</v>
      </c>
      <c r="J6" s="296" t="s">
        <v>32</v>
      </c>
      <c r="K6" s="296" t="s">
        <v>390</v>
      </c>
      <c r="L6" s="266">
        <v>45001</v>
      </c>
      <c r="M6" s="266">
        <v>45002</v>
      </c>
      <c r="N6" s="267">
        <f t="shared" si="0"/>
        <v>468.07</v>
      </c>
      <c r="O6" s="267">
        <f t="shared" si="0"/>
        <v>468.07</v>
      </c>
      <c r="P6" s="267">
        <f t="shared" ref="P6:P10" si="1">SUM(N6:O6)</f>
        <v>936.14</v>
      </c>
      <c r="Q6" s="292">
        <v>2</v>
      </c>
      <c r="R6" s="267">
        <v>120</v>
      </c>
      <c r="S6" s="292">
        <v>0</v>
      </c>
      <c r="T6" s="267">
        <v>0</v>
      </c>
      <c r="U6" s="291">
        <f t="shared" ref="U6:U10" si="2">Q6*R6+S6*T6</f>
        <v>240</v>
      </c>
      <c r="V6" s="291">
        <f t="shared" ref="V6:V9" si="3">P6+U6</f>
        <v>1176.1399999999999</v>
      </c>
      <c r="W6" s="291">
        <f t="shared" ref="W6:W9" si="4">V6</f>
        <v>1176.1399999999999</v>
      </c>
      <c r="X6" s="292"/>
    </row>
    <row r="7" spans="1:24" s="268" customFormat="1" ht="15" x14ac:dyDescent="0.2">
      <c r="A7" s="296" t="s">
        <v>250</v>
      </c>
      <c r="B7" s="248" t="s">
        <v>212</v>
      </c>
      <c r="C7" s="296" t="s">
        <v>270</v>
      </c>
      <c r="D7" s="290" t="s">
        <v>173</v>
      </c>
      <c r="E7" s="252" t="s">
        <v>599</v>
      </c>
      <c r="F7" s="296" t="s">
        <v>688</v>
      </c>
      <c r="G7" s="98" t="s">
        <v>31</v>
      </c>
      <c r="H7" s="98" t="s">
        <v>32</v>
      </c>
      <c r="I7" s="98" t="s">
        <v>33</v>
      </c>
      <c r="J7" s="296" t="s">
        <v>32</v>
      </c>
      <c r="K7" s="296" t="s">
        <v>390</v>
      </c>
      <c r="L7" s="266">
        <v>45001</v>
      </c>
      <c r="M7" s="266">
        <v>45002</v>
      </c>
      <c r="N7" s="267">
        <f t="shared" si="0"/>
        <v>468.07</v>
      </c>
      <c r="O7" s="267">
        <f t="shared" si="0"/>
        <v>468.07</v>
      </c>
      <c r="P7" s="267">
        <f t="shared" si="1"/>
        <v>936.14</v>
      </c>
      <c r="Q7" s="292">
        <v>2</v>
      </c>
      <c r="R7" s="267">
        <v>120</v>
      </c>
      <c r="S7" s="292">
        <v>0</v>
      </c>
      <c r="T7" s="267">
        <v>0</v>
      </c>
      <c r="U7" s="291">
        <f t="shared" si="2"/>
        <v>240</v>
      </c>
      <c r="V7" s="291">
        <f t="shared" si="3"/>
        <v>1176.1399999999999</v>
      </c>
      <c r="W7" s="291">
        <f t="shared" si="4"/>
        <v>1176.1399999999999</v>
      </c>
      <c r="X7" s="292"/>
    </row>
    <row r="8" spans="1:24" s="268" customFormat="1" ht="15" x14ac:dyDescent="0.2">
      <c r="A8" s="248" t="s">
        <v>229</v>
      </c>
      <c r="B8" s="248" t="s">
        <v>227</v>
      </c>
      <c r="C8" s="296" t="s">
        <v>581</v>
      </c>
      <c r="D8" s="290">
        <v>357</v>
      </c>
      <c r="E8" s="252" t="s">
        <v>262</v>
      </c>
      <c r="F8" s="296" t="s">
        <v>689</v>
      </c>
      <c r="G8" s="98" t="s">
        <v>31</v>
      </c>
      <c r="H8" s="98" t="s">
        <v>32</v>
      </c>
      <c r="I8" s="98" t="s">
        <v>33</v>
      </c>
      <c r="J8" s="296" t="s">
        <v>61</v>
      </c>
      <c r="K8" s="296" t="s">
        <v>62</v>
      </c>
      <c r="L8" s="266">
        <v>44997</v>
      </c>
      <c r="M8" s="266">
        <v>45002</v>
      </c>
      <c r="N8" s="267">
        <v>1623.42</v>
      </c>
      <c r="O8" s="267">
        <v>1879.42</v>
      </c>
      <c r="P8" s="267">
        <f t="shared" si="1"/>
        <v>3502.84</v>
      </c>
      <c r="Q8" s="292">
        <v>0</v>
      </c>
      <c r="R8" s="267">
        <v>0</v>
      </c>
      <c r="S8" s="292">
        <v>0</v>
      </c>
      <c r="T8" s="267">
        <v>0</v>
      </c>
      <c r="U8" s="291">
        <f t="shared" si="2"/>
        <v>0</v>
      </c>
      <c r="V8" s="291">
        <f t="shared" si="3"/>
        <v>3502.84</v>
      </c>
      <c r="W8" s="291">
        <f t="shared" si="4"/>
        <v>3502.84</v>
      </c>
      <c r="X8" s="292"/>
    </row>
    <row r="9" spans="1:24" s="268" customFormat="1" ht="15" x14ac:dyDescent="0.2">
      <c r="A9" s="296" t="s">
        <v>250</v>
      </c>
      <c r="B9" s="248" t="s">
        <v>289</v>
      </c>
      <c r="C9" s="296" t="s">
        <v>340</v>
      </c>
      <c r="D9" s="290">
        <v>74</v>
      </c>
      <c r="E9" s="248" t="s">
        <v>536</v>
      </c>
      <c r="F9" s="289" t="s">
        <v>690</v>
      </c>
      <c r="G9" s="98" t="s">
        <v>31</v>
      </c>
      <c r="H9" s="98" t="s">
        <v>32</v>
      </c>
      <c r="I9" s="98" t="s">
        <v>33</v>
      </c>
      <c r="J9" s="296" t="s">
        <v>32</v>
      </c>
      <c r="K9" s="296" t="s">
        <v>390</v>
      </c>
      <c r="L9" s="266">
        <v>44988</v>
      </c>
      <c r="M9" s="266">
        <v>44989</v>
      </c>
      <c r="N9" s="267">
        <f>1709.31/2</f>
        <v>854.65499999999997</v>
      </c>
      <c r="O9" s="267">
        <f>1709.31/2</f>
        <v>854.65499999999997</v>
      </c>
      <c r="P9" s="267">
        <f t="shared" si="1"/>
        <v>1709.31</v>
      </c>
      <c r="Q9" s="292">
        <v>2</v>
      </c>
      <c r="R9" s="267">
        <v>120</v>
      </c>
      <c r="S9" s="292">
        <v>0</v>
      </c>
      <c r="T9" s="267">
        <v>0</v>
      </c>
      <c r="U9" s="291">
        <f t="shared" si="2"/>
        <v>240</v>
      </c>
      <c r="V9" s="291">
        <f t="shared" si="3"/>
        <v>1949.31</v>
      </c>
      <c r="W9" s="291">
        <f t="shared" si="4"/>
        <v>1949.31</v>
      </c>
      <c r="X9" s="292"/>
    </row>
    <row r="10" spans="1:24" s="268" customFormat="1" ht="15" x14ac:dyDescent="0.2">
      <c r="A10" s="402" t="s">
        <v>372</v>
      </c>
      <c r="B10" s="402" t="s">
        <v>238</v>
      </c>
      <c r="C10" s="402" t="s">
        <v>135</v>
      </c>
      <c r="D10" s="361">
        <v>230</v>
      </c>
      <c r="E10" s="406" t="s">
        <v>152</v>
      </c>
      <c r="F10" s="402" t="s">
        <v>691</v>
      </c>
      <c r="G10" s="98" t="s">
        <v>31</v>
      </c>
      <c r="H10" s="296" t="s">
        <v>61</v>
      </c>
      <c r="I10" s="296" t="s">
        <v>62</v>
      </c>
      <c r="J10" s="296" t="s">
        <v>38</v>
      </c>
      <c r="K10" s="296" t="s">
        <v>39</v>
      </c>
      <c r="L10" s="404">
        <v>45011</v>
      </c>
      <c r="M10" s="404">
        <v>45013</v>
      </c>
      <c r="N10" s="398">
        <f>3156.22/2</f>
        <v>1578.11</v>
      </c>
      <c r="O10" s="398">
        <f>3156.22/2</f>
        <v>1578.11</v>
      </c>
      <c r="P10" s="398">
        <f t="shared" si="1"/>
        <v>3156.22</v>
      </c>
      <c r="Q10" s="391">
        <v>7</v>
      </c>
      <c r="R10" s="398">
        <v>120</v>
      </c>
      <c r="S10" s="391">
        <v>0</v>
      </c>
      <c r="T10" s="398">
        <v>0</v>
      </c>
      <c r="U10" s="389">
        <f t="shared" si="2"/>
        <v>840</v>
      </c>
      <c r="V10" s="389">
        <f>P10+U10</f>
        <v>3996.22</v>
      </c>
      <c r="W10" s="389">
        <f>V10</f>
        <v>3996.22</v>
      </c>
      <c r="X10" s="400"/>
    </row>
    <row r="11" spans="1:24" s="268" customFormat="1" ht="15" x14ac:dyDescent="0.2">
      <c r="A11" s="403"/>
      <c r="B11" s="403"/>
      <c r="C11" s="403"/>
      <c r="D11" s="361"/>
      <c r="E11" s="406"/>
      <c r="F11" s="401"/>
      <c r="G11" s="98" t="s">
        <v>31</v>
      </c>
      <c r="H11" s="296" t="s">
        <v>38</v>
      </c>
      <c r="I11" s="296" t="s">
        <v>39</v>
      </c>
      <c r="J11" s="296" t="s">
        <v>32</v>
      </c>
      <c r="K11" s="296" t="s">
        <v>33</v>
      </c>
      <c r="L11" s="405"/>
      <c r="M11" s="405"/>
      <c r="N11" s="399"/>
      <c r="O11" s="399"/>
      <c r="P11" s="399"/>
      <c r="Q11" s="392"/>
      <c r="R11" s="399"/>
      <c r="S11" s="392"/>
      <c r="T11" s="399"/>
      <c r="U11" s="390"/>
      <c r="V11" s="390"/>
      <c r="W11" s="390"/>
      <c r="X11" s="401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workbookViewId="0">
      <selection activeCell="D10" sqref="D10:E10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s="268" customFormat="1" ht="15" x14ac:dyDescent="0.2">
      <c r="A5" s="296" t="s">
        <v>372</v>
      </c>
      <c r="B5" s="296" t="s">
        <v>238</v>
      </c>
      <c r="C5" s="302" t="s">
        <v>447</v>
      </c>
      <c r="D5" s="293">
        <v>336</v>
      </c>
      <c r="E5" s="302" t="s">
        <v>695</v>
      </c>
      <c r="F5" s="296" t="s">
        <v>692</v>
      </c>
      <c r="G5" s="98" t="s">
        <v>31</v>
      </c>
      <c r="H5" s="98" t="s">
        <v>32</v>
      </c>
      <c r="I5" s="98" t="s">
        <v>33</v>
      </c>
      <c r="J5" s="302" t="s">
        <v>38</v>
      </c>
      <c r="K5" s="302" t="s">
        <v>39</v>
      </c>
      <c r="L5" s="266">
        <v>45019</v>
      </c>
      <c r="M5" s="266">
        <v>45021</v>
      </c>
      <c r="N5" s="267">
        <f t="shared" ref="N5:O7" si="0">3258.83/2</f>
        <v>1629.415</v>
      </c>
      <c r="O5" s="267">
        <f t="shared" si="0"/>
        <v>1629.415</v>
      </c>
      <c r="P5" s="267">
        <f>SUM(N5:O5)</f>
        <v>3258.83</v>
      </c>
      <c r="Q5" s="295">
        <v>3</v>
      </c>
      <c r="R5" s="267">
        <v>120</v>
      </c>
      <c r="S5" s="295">
        <v>0</v>
      </c>
      <c r="T5" s="267">
        <v>0</v>
      </c>
      <c r="U5" s="294">
        <f>Q5*R5+S5*T5</f>
        <v>360</v>
      </c>
      <c r="V5" s="294">
        <f>P5+U5</f>
        <v>3618.83</v>
      </c>
      <c r="W5" s="294">
        <f>V5</f>
        <v>3618.83</v>
      </c>
      <c r="X5" s="295"/>
    </row>
    <row r="6" spans="1:24" s="268" customFormat="1" ht="15" x14ac:dyDescent="0.2">
      <c r="A6" s="296" t="s">
        <v>372</v>
      </c>
      <c r="B6" s="297" t="s">
        <v>238</v>
      </c>
      <c r="C6" s="302" t="s">
        <v>135</v>
      </c>
      <c r="D6" s="293">
        <v>230</v>
      </c>
      <c r="E6" s="289" t="s">
        <v>152</v>
      </c>
      <c r="F6" s="296" t="s">
        <v>692</v>
      </c>
      <c r="G6" s="98" t="s">
        <v>31</v>
      </c>
      <c r="H6" s="98" t="s">
        <v>32</v>
      </c>
      <c r="I6" s="98" t="s">
        <v>33</v>
      </c>
      <c r="J6" s="296" t="s">
        <v>32</v>
      </c>
      <c r="K6" s="302" t="s">
        <v>39</v>
      </c>
      <c r="L6" s="266">
        <v>45019</v>
      </c>
      <c r="M6" s="266">
        <v>45021</v>
      </c>
      <c r="N6" s="267">
        <f t="shared" si="0"/>
        <v>1629.415</v>
      </c>
      <c r="O6" s="267">
        <f t="shared" si="0"/>
        <v>1629.415</v>
      </c>
      <c r="P6" s="267">
        <f t="shared" ref="P6:P10" si="1">SUM(N6:O6)</f>
        <v>3258.83</v>
      </c>
      <c r="Q6" s="295">
        <v>6</v>
      </c>
      <c r="R6" s="267">
        <v>120</v>
      </c>
      <c r="S6" s="295">
        <v>0</v>
      </c>
      <c r="T6" s="267">
        <v>0</v>
      </c>
      <c r="U6" s="294">
        <f t="shared" ref="U6:U10" si="2">Q6*R6+S6*T6</f>
        <v>720</v>
      </c>
      <c r="V6" s="294">
        <f t="shared" ref="V6:V10" si="3">P6+U6</f>
        <v>3978.83</v>
      </c>
      <c r="W6" s="294">
        <f t="shared" ref="W6:W10" si="4">V6</f>
        <v>3978.83</v>
      </c>
      <c r="X6" s="295"/>
    </row>
    <row r="7" spans="1:24" s="268" customFormat="1" ht="15" x14ac:dyDescent="0.2">
      <c r="A7" s="296" t="s">
        <v>372</v>
      </c>
      <c r="B7" s="297" t="s">
        <v>372</v>
      </c>
      <c r="C7" s="302" t="s">
        <v>134</v>
      </c>
      <c r="D7" s="293">
        <v>202</v>
      </c>
      <c r="E7" s="252" t="s">
        <v>87</v>
      </c>
      <c r="F7" s="296" t="s">
        <v>692</v>
      </c>
      <c r="G7" s="98" t="s">
        <v>31</v>
      </c>
      <c r="H7" s="98" t="s">
        <v>32</v>
      </c>
      <c r="I7" s="98" t="s">
        <v>33</v>
      </c>
      <c r="J7" s="296" t="s">
        <v>32</v>
      </c>
      <c r="K7" s="302" t="s">
        <v>39</v>
      </c>
      <c r="L7" s="266">
        <v>45019</v>
      </c>
      <c r="M7" s="266">
        <v>45021</v>
      </c>
      <c r="N7" s="267">
        <f t="shared" si="0"/>
        <v>1629.415</v>
      </c>
      <c r="O7" s="267">
        <f t="shared" si="0"/>
        <v>1629.415</v>
      </c>
      <c r="P7" s="267">
        <f t="shared" si="1"/>
        <v>3258.83</v>
      </c>
      <c r="Q7" s="295">
        <v>3</v>
      </c>
      <c r="R7" s="267">
        <v>120</v>
      </c>
      <c r="S7" s="295">
        <v>0</v>
      </c>
      <c r="T7" s="267">
        <v>0</v>
      </c>
      <c r="U7" s="294">
        <f t="shared" si="2"/>
        <v>360</v>
      </c>
      <c r="V7" s="294">
        <f t="shared" si="3"/>
        <v>3618.83</v>
      </c>
      <c r="W7" s="294">
        <f t="shared" si="4"/>
        <v>3618.83</v>
      </c>
      <c r="X7" s="295"/>
    </row>
    <row r="8" spans="1:24" s="268" customFormat="1" ht="15" x14ac:dyDescent="0.2">
      <c r="A8" s="297" t="s">
        <v>250</v>
      </c>
      <c r="B8" s="297" t="s">
        <v>289</v>
      </c>
      <c r="C8" s="296" t="s">
        <v>642</v>
      </c>
      <c r="D8" s="293">
        <v>252</v>
      </c>
      <c r="E8" s="302" t="s">
        <v>696</v>
      </c>
      <c r="F8" s="296" t="s">
        <v>694</v>
      </c>
      <c r="G8" s="98" t="s">
        <v>31</v>
      </c>
      <c r="H8" s="98" t="s">
        <v>32</v>
      </c>
      <c r="I8" s="98" t="s">
        <v>33</v>
      </c>
      <c r="J8" s="302" t="s">
        <v>595</v>
      </c>
      <c r="K8" s="302" t="s">
        <v>390</v>
      </c>
      <c r="L8" s="266">
        <v>45021</v>
      </c>
      <c r="M8" s="266">
        <v>45036</v>
      </c>
      <c r="N8" s="267">
        <f>1112.2/2</f>
        <v>556.1</v>
      </c>
      <c r="O8" s="267">
        <f>1112.2/2</f>
        <v>556.1</v>
      </c>
      <c r="P8" s="267">
        <f t="shared" si="1"/>
        <v>1112.2</v>
      </c>
      <c r="Q8" s="295">
        <v>16</v>
      </c>
      <c r="R8" s="267">
        <v>120</v>
      </c>
      <c r="S8" s="295">
        <v>0</v>
      </c>
      <c r="T8" s="267">
        <v>0</v>
      </c>
      <c r="U8" s="294">
        <f t="shared" si="2"/>
        <v>1920</v>
      </c>
      <c r="V8" s="294">
        <f t="shared" si="3"/>
        <v>3032.2</v>
      </c>
      <c r="W8" s="294">
        <f t="shared" si="4"/>
        <v>3032.2</v>
      </c>
      <c r="X8" s="295"/>
    </row>
    <row r="9" spans="1:24" s="268" customFormat="1" ht="15" x14ac:dyDescent="0.2">
      <c r="A9" s="297" t="s">
        <v>250</v>
      </c>
      <c r="B9" s="297" t="s">
        <v>250</v>
      </c>
      <c r="C9" s="302" t="s">
        <v>670</v>
      </c>
      <c r="D9" s="293">
        <v>383</v>
      </c>
      <c r="E9" s="277" t="s">
        <v>677</v>
      </c>
      <c r="F9" s="296" t="s">
        <v>693</v>
      </c>
      <c r="G9" s="98" t="s">
        <v>31</v>
      </c>
      <c r="H9" s="98" t="s">
        <v>32</v>
      </c>
      <c r="I9" s="302" t="s">
        <v>33</v>
      </c>
      <c r="J9" s="302" t="s">
        <v>38</v>
      </c>
      <c r="K9" s="302" t="s">
        <v>39</v>
      </c>
      <c r="L9" s="266">
        <v>45040</v>
      </c>
      <c r="M9" s="266">
        <v>45041</v>
      </c>
      <c r="N9" s="267">
        <f>5617.58/2</f>
        <v>2808.79</v>
      </c>
      <c r="O9" s="267">
        <f>5617.58/2</f>
        <v>2808.79</v>
      </c>
      <c r="P9" s="267">
        <f t="shared" si="1"/>
        <v>5617.58</v>
      </c>
      <c r="Q9" s="295">
        <v>2</v>
      </c>
      <c r="R9" s="267">
        <v>120</v>
      </c>
      <c r="S9" s="295">
        <v>0</v>
      </c>
      <c r="T9" s="267">
        <v>0</v>
      </c>
      <c r="U9" s="294">
        <f t="shared" si="2"/>
        <v>240</v>
      </c>
      <c r="V9" s="294">
        <f t="shared" si="3"/>
        <v>5857.58</v>
      </c>
      <c r="W9" s="294">
        <f t="shared" si="4"/>
        <v>5857.58</v>
      </c>
      <c r="X9" s="295"/>
    </row>
    <row r="10" spans="1:24" s="268" customFormat="1" ht="15" x14ac:dyDescent="0.2">
      <c r="A10" s="296" t="s">
        <v>250</v>
      </c>
      <c r="B10" s="297" t="s">
        <v>250</v>
      </c>
      <c r="C10" s="296" t="s">
        <v>378</v>
      </c>
      <c r="D10" s="293"/>
      <c r="E10" s="289" t="s">
        <v>55</v>
      </c>
      <c r="F10" s="289" t="s">
        <v>693</v>
      </c>
      <c r="G10" s="98" t="s">
        <v>31</v>
      </c>
      <c r="H10" s="98" t="s">
        <v>32</v>
      </c>
      <c r="I10" s="98" t="s">
        <v>33</v>
      </c>
      <c r="J10" s="296" t="s">
        <v>32</v>
      </c>
      <c r="K10" s="302" t="s">
        <v>39</v>
      </c>
      <c r="L10" s="266">
        <v>45040</v>
      </c>
      <c r="M10" s="266">
        <v>45041</v>
      </c>
      <c r="N10" s="267">
        <f>5617.58/2</f>
        <v>2808.79</v>
      </c>
      <c r="O10" s="267">
        <f>5617.58/2</f>
        <v>2808.79</v>
      </c>
      <c r="P10" s="267">
        <f t="shared" si="1"/>
        <v>5617.58</v>
      </c>
      <c r="Q10" s="295">
        <v>0</v>
      </c>
      <c r="R10" s="267">
        <v>0</v>
      </c>
      <c r="S10" s="295">
        <v>0</v>
      </c>
      <c r="T10" s="267">
        <v>0</v>
      </c>
      <c r="U10" s="294">
        <f t="shared" si="2"/>
        <v>0</v>
      </c>
      <c r="V10" s="294">
        <f t="shared" si="3"/>
        <v>5617.58</v>
      </c>
      <c r="W10" s="294">
        <f t="shared" si="4"/>
        <v>5617.58</v>
      </c>
      <c r="X10" s="295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5" sqref="D5:E5"/>
    </sheetView>
  </sheetViews>
  <sheetFormatPr defaultRowHeight="14.25" x14ac:dyDescent="0.2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s="268" customFormat="1" ht="15" x14ac:dyDescent="0.2">
      <c r="A5" s="296" t="s">
        <v>250</v>
      </c>
      <c r="B5" s="296" t="s">
        <v>250</v>
      </c>
      <c r="C5" s="307" t="s">
        <v>378</v>
      </c>
      <c r="D5" s="298"/>
      <c r="E5" s="289" t="s">
        <v>55</v>
      </c>
      <c r="F5" s="296" t="s">
        <v>702</v>
      </c>
      <c r="G5" s="98" t="s">
        <v>31</v>
      </c>
      <c r="H5" s="98" t="s">
        <v>32</v>
      </c>
      <c r="I5" s="98" t="s">
        <v>33</v>
      </c>
      <c r="J5" s="307" t="s">
        <v>38</v>
      </c>
      <c r="K5" s="307" t="s">
        <v>39</v>
      </c>
      <c r="L5" s="266">
        <v>45055</v>
      </c>
      <c r="M5" s="266">
        <v>45060</v>
      </c>
      <c r="N5" s="267">
        <f>1309.52/2</f>
        <v>654.76</v>
      </c>
      <c r="O5" s="267">
        <f>1309.52/2</f>
        <v>654.76</v>
      </c>
      <c r="P5" s="267">
        <f>SUM(N5:O5)</f>
        <v>1309.52</v>
      </c>
      <c r="Q5" s="300">
        <v>0</v>
      </c>
      <c r="R5" s="267">
        <v>0</v>
      </c>
      <c r="S5" s="300">
        <v>0</v>
      </c>
      <c r="T5" s="267">
        <v>0</v>
      </c>
      <c r="U5" s="299">
        <f>Q5*R5+S5*T5</f>
        <v>0</v>
      </c>
      <c r="V5" s="299">
        <f>P5+U5</f>
        <v>1309.52</v>
      </c>
      <c r="W5" s="299">
        <f>V5</f>
        <v>1309.52</v>
      </c>
      <c r="X5" s="300"/>
    </row>
    <row r="6" spans="1:24" s="268" customFormat="1" ht="15" x14ac:dyDescent="0.2">
      <c r="A6" s="296" t="s">
        <v>250</v>
      </c>
      <c r="B6" s="301" t="s">
        <v>250</v>
      </c>
      <c r="C6" s="302" t="s">
        <v>670</v>
      </c>
      <c r="D6" s="298">
        <v>383</v>
      </c>
      <c r="E6" s="307" t="s">
        <v>703</v>
      </c>
      <c r="F6" s="296" t="s">
        <v>701</v>
      </c>
      <c r="G6" s="98" t="s">
        <v>31</v>
      </c>
      <c r="H6" s="98" t="s">
        <v>32</v>
      </c>
      <c r="I6" s="98" t="s">
        <v>33</v>
      </c>
      <c r="J6" s="307" t="s">
        <v>38</v>
      </c>
      <c r="K6" s="302" t="s">
        <v>39</v>
      </c>
      <c r="L6" s="266">
        <v>45055</v>
      </c>
      <c r="M6" s="266">
        <v>45057</v>
      </c>
      <c r="N6" s="267">
        <f>1592.83/2</f>
        <v>796.41499999999996</v>
      </c>
      <c r="O6" s="267">
        <f>1592.83/2</f>
        <v>796.41499999999996</v>
      </c>
      <c r="P6" s="267">
        <f t="shared" ref="P6:P11" si="0">SUM(N6:O6)</f>
        <v>1592.83</v>
      </c>
      <c r="Q6" s="300">
        <v>3</v>
      </c>
      <c r="R6" s="267">
        <v>120</v>
      </c>
      <c r="S6" s="300">
        <v>0</v>
      </c>
      <c r="T6" s="267">
        <v>0</v>
      </c>
      <c r="U6" s="299">
        <f t="shared" ref="U6:U10" si="1">Q6*R6+S6*T6</f>
        <v>360</v>
      </c>
      <c r="V6" s="299">
        <f t="shared" ref="V6:V10" si="2">P6+U6</f>
        <v>1952.83</v>
      </c>
      <c r="W6" s="299">
        <f t="shared" ref="W6:W10" si="3">V6</f>
        <v>1952.83</v>
      </c>
      <c r="X6" s="300"/>
    </row>
    <row r="7" spans="1:24" s="268" customFormat="1" ht="15" x14ac:dyDescent="0.2">
      <c r="A7" s="296" t="s">
        <v>372</v>
      </c>
      <c r="B7" s="301" t="s">
        <v>372</v>
      </c>
      <c r="C7" s="302" t="s">
        <v>134</v>
      </c>
      <c r="D7" s="298">
        <v>202</v>
      </c>
      <c r="E7" s="307" t="s">
        <v>704</v>
      </c>
      <c r="F7" s="296" t="s">
        <v>701</v>
      </c>
      <c r="G7" s="98" t="s">
        <v>31</v>
      </c>
      <c r="H7" s="98" t="s">
        <v>32</v>
      </c>
      <c r="I7" s="98" t="s">
        <v>33</v>
      </c>
      <c r="J7" s="307" t="s">
        <v>38</v>
      </c>
      <c r="K7" s="302" t="s">
        <v>39</v>
      </c>
      <c r="L7" s="266">
        <v>45055</v>
      </c>
      <c r="M7" s="266">
        <v>45057</v>
      </c>
      <c r="N7" s="267">
        <f>1619.83/2</f>
        <v>809.91499999999996</v>
      </c>
      <c r="O7" s="267">
        <f>1619.83/2</f>
        <v>809.91499999999996</v>
      </c>
      <c r="P7" s="267">
        <f t="shared" si="0"/>
        <v>1619.83</v>
      </c>
      <c r="Q7" s="300">
        <v>3</v>
      </c>
      <c r="R7" s="267">
        <v>120</v>
      </c>
      <c r="S7" s="300">
        <v>0</v>
      </c>
      <c r="T7" s="267">
        <v>0</v>
      </c>
      <c r="U7" s="299">
        <f>Q7*R7+S7*T7</f>
        <v>360</v>
      </c>
      <c r="V7" s="299">
        <f t="shared" si="2"/>
        <v>1979.83</v>
      </c>
      <c r="W7" s="299">
        <f t="shared" si="3"/>
        <v>1979.83</v>
      </c>
      <c r="X7" s="300"/>
    </row>
    <row r="8" spans="1:24" s="268" customFormat="1" ht="15" x14ac:dyDescent="0.2">
      <c r="A8" s="296" t="s">
        <v>372</v>
      </c>
      <c r="B8" s="301" t="s">
        <v>372</v>
      </c>
      <c r="C8" s="296" t="s">
        <v>75</v>
      </c>
      <c r="D8" s="298"/>
      <c r="E8" s="301" t="s">
        <v>88</v>
      </c>
      <c r="F8" s="296" t="s">
        <v>701</v>
      </c>
      <c r="G8" s="98" t="s">
        <v>31</v>
      </c>
      <c r="H8" s="98" t="s">
        <v>32</v>
      </c>
      <c r="I8" s="98" t="s">
        <v>33</v>
      </c>
      <c r="J8" s="307" t="s">
        <v>38</v>
      </c>
      <c r="K8" s="302" t="s">
        <v>39</v>
      </c>
      <c r="L8" s="266">
        <v>45055</v>
      </c>
      <c r="M8" s="266">
        <v>45057</v>
      </c>
      <c r="N8" s="267">
        <f>1699.96/2</f>
        <v>849.98</v>
      </c>
      <c r="O8" s="267">
        <f>1699.96/2</f>
        <v>849.98</v>
      </c>
      <c r="P8" s="267">
        <f t="shared" si="0"/>
        <v>1699.96</v>
      </c>
      <c r="Q8" s="300">
        <v>0</v>
      </c>
      <c r="R8" s="267">
        <v>0</v>
      </c>
      <c r="S8" s="300">
        <v>0</v>
      </c>
      <c r="T8" s="267">
        <v>0</v>
      </c>
      <c r="U8" s="299">
        <f t="shared" si="1"/>
        <v>0</v>
      </c>
      <c r="V8" s="299">
        <f t="shared" si="2"/>
        <v>1699.96</v>
      </c>
      <c r="W8" s="299">
        <f t="shared" si="3"/>
        <v>1699.96</v>
      </c>
      <c r="X8" s="300"/>
    </row>
    <row r="9" spans="1:24" s="268" customFormat="1" ht="15" x14ac:dyDescent="0.2">
      <c r="A9" s="301" t="s">
        <v>229</v>
      </c>
      <c r="B9" s="301" t="s">
        <v>239</v>
      </c>
      <c r="C9" s="302" t="s">
        <v>697</v>
      </c>
      <c r="D9" s="298">
        <v>394</v>
      </c>
      <c r="E9" s="307" t="s">
        <v>705</v>
      </c>
      <c r="F9" s="296" t="s">
        <v>700</v>
      </c>
      <c r="G9" s="98" t="s">
        <v>31</v>
      </c>
      <c r="H9" s="98" t="s">
        <v>32</v>
      </c>
      <c r="I9" s="98" t="s">
        <v>33</v>
      </c>
      <c r="J9" s="307" t="s">
        <v>111</v>
      </c>
      <c r="K9" s="307" t="s">
        <v>112</v>
      </c>
      <c r="L9" s="266">
        <v>45056</v>
      </c>
      <c r="M9" s="266">
        <v>45058</v>
      </c>
      <c r="N9" s="267">
        <f>5095/2</f>
        <v>2547.5</v>
      </c>
      <c r="O9" s="267">
        <f>5095/2</f>
        <v>2547.5</v>
      </c>
      <c r="P9" s="267">
        <f t="shared" si="0"/>
        <v>5095</v>
      </c>
      <c r="Q9" s="300">
        <v>3</v>
      </c>
      <c r="R9" s="267">
        <v>120</v>
      </c>
      <c r="S9" s="300">
        <v>0</v>
      </c>
      <c r="T9" s="267">
        <v>0</v>
      </c>
      <c r="U9" s="299">
        <f t="shared" si="1"/>
        <v>360</v>
      </c>
      <c r="V9" s="299">
        <f t="shared" si="2"/>
        <v>5455</v>
      </c>
      <c r="W9" s="299">
        <f t="shared" si="3"/>
        <v>5455</v>
      </c>
      <c r="X9" s="300"/>
    </row>
    <row r="10" spans="1:24" s="268" customFormat="1" ht="15" x14ac:dyDescent="0.2">
      <c r="A10" s="296" t="s">
        <v>229</v>
      </c>
      <c r="B10" s="301" t="s">
        <v>229</v>
      </c>
      <c r="C10" s="296" t="s">
        <v>698</v>
      </c>
      <c r="D10" s="298"/>
      <c r="E10" s="301" t="s">
        <v>561</v>
      </c>
      <c r="F10" s="289" t="s">
        <v>700</v>
      </c>
      <c r="G10" s="98" t="s">
        <v>31</v>
      </c>
      <c r="H10" s="98" t="s">
        <v>32</v>
      </c>
      <c r="I10" s="98" t="s">
        <v>33</v>
      </c>
      <c r="J10" s="307" t="s">
        <v>111</v>
      </c>
      <c r="K10" s="307" t="s">
        <v>112</v>
      </c>
      <c r="L10" s="266">
        <v>45056</v>
      </c>
      <c r="M10" s="266">
        <v>45058</v>
      </c>
      <c r="N10" s="267">
        <f>4603/2</f>
        <v>2301.5</v>
      </c>
      <c r="O10" s="267">
        <f>4603/2</f>
        <v>2301.5</v>
      </c>
      <c r="P10" s="267">
        <f t="shared" si="0"/>
        <v>4603</v>
      </c>
      <c r="Q10" s="300">
        <v>0</v>
      </c>
      <c r="R10" s="267">
        <v>0</v>
      </c>
      <c r="S10" s="300">
        <v>0</v>
      </c>
      <c r="T10" s="267">
        <v>0</v>
      </c>
      <c r="U10" s="299">
        <f t="shared" si="1"/>
        <v>0</v>
      </c>
      <c r="V10" s="299">
        <f t="shared" si="2"/>
        <v>4603</v>
      </c>
      <c r="W10" s="299">
        <f t="shared" si="3"/>
        <v>4603</v>
      </c>
      <c r="X10" s="300"/>
    </row>
    <row r="11" spans="1:24" ht="15" x14ac:dyDescent="0.2">
      <c r="A11" s="421" t="s">
        <v>250</v>
      </c>
      <c r="B11" s="421" t="s">
        <v>250</v>
      </c>
      <c r="C11" s="414" t="s">
        <v>378</v>
      </c>
      <c r="D11" s="415"/>
      <c r="E11" s="400" t="s">
        <v>55</v>
      </c>
      <c r="F11" s="418" t="s">
        <v>699</v>
      </c>
      <c r="G11" s="98" t="s">
        <v>31</v>
      </c>
      <c r="H11" s="98" t="s">
        <v>32</v>
      </c>
      <c r="I11" s="98" t="s">
        <v>33</v>
      </c>
      <c r="J11" s="307" t="s">
        <v>38</v>
      </c>
      <c r="K11" s="302" t="s">
        <v>39</v>
      </c>
      <c r="L11" s="311">
        <v>45063</v>
      </c>
      <c r="M11" s="311">
        <v>45064</v>
      </c>
      <c r="N11" s="398">
        <f>8486.12/2</f>
        <v>4243.0600000000004</v>
      </c>
      <c r="O11" s="398">
        <f>8486.12/2</f>
        <v>4243.0600000000004</v>
      </c>
      <c r="P11" s="398">
        <f t="shared" si="0"/>
        <v>8486.1200000000008</v>
      </c>
      <c r="Q11" s="408">
        <v>0</v>
      </c>
      <c r="R11" s="398">
        <v>0</v>
      </c>
      <c r="S11" s="408">
        <v>0</v>
      </c>
      <c r="T11" s="398">
        <v>0</v>
      </c>
      <c r="U11" s="408">
        <v>0</v>
      </c>
      <c r="V11" s="389">
        <f t="shared" ref="V11:V14" si="4">P11+U11</f>
        <v>8486.1200000000008</v>
      </c>
      <c r="W11" s="389">
        <f t="shared" ref="W11:W14" si="5">V11</f>
        <v>8486.1200000000008</v>
      </c>
      <c r="X11" s="396"/>
    </row>
    <row r="12" spans="1:24" ht="15" x14ac:dyDescent="0.2">
      <c r="A12" s="421"/>
      <c r="B12" s="421"/>
      <c r="C12" s="414"/>
      <c r="D12" s="416"/>
      <c r="E12" s="422"/>
      <c r="F12" s="419"/>
      <c r="G12" s="98" t="s">
        <v>31</v>
      </c>
      <c r="H12" s="307" t="s">
        <v>38</v>
      </c>
      <c r="I12" s="302" t="s">
        <v>39</v>
      </c>
      <c r="J12" s="310" t="s">
        <v>121</v>
      </c>
      <c r="K12" s="310" t="s">
        <v>62</v>
      </c>
      <c r="L12" s="311">
        <v>45064</v>
      </c>
      <c r="M12" s="311">
        <v>45064</v>
      </c>
      <c r="N12" s="407"/>
      <c r="O12" s="407"/>
      <c r="P12" s="407"/>
      <c r="Q12" s="408"/>
      <c r="R12" s="407"/>
      <c r="S12" s="408"/>
      <c r="T12" s="407"/>
      <c r="U12" s="408"/>
      <c r="V12" s="409"/>
      <c r="W12" s="409"/>
      <c r="X12" s="396"/>
    </row>
    <row r="13" spans="1:24" ht="15" x14ac:dyDescent="0.2">
      <c r="A13" s="421"/>
      <c r="B13" s="421"/>
      <c r="C13" s="414"/>
      <c r="D13" s="417"/>
      <c r="E13" s="401"/>
      <c r="F13" s="420"/>
      <c r="G13" s="98" t="s">
        <v>31</v>
      </c>
      <c r="H13" s="310" t="s">
        <v>121</v>
      </c>
      <c r="I13" s="310" t="s">
        <v>62</v>
      </c>
      <c r="J13" s="98" t="s">
        <v>32</v>
      </c>
      <c r="K13" s="98" t="s">
        <v>33</v>
      </c>
      <c r="L13" s="311">
        <v>45064</v>
      </c>
      <c r="M13" s="311">
        <v>45064</v>
      </c>
      <c r="N13" s="399"/>
      <c r="O13" s="399"/>
      <c r="P13" s="399"/>
      <c r="Q13" s="408"/>
      <c r="R13" s="399"/>
      <c r="S13" s="408"/>
      <c r="T13" s="399"/>
      <c r="U13" s="408"/>
      <c r="V13" s="390"/>
      <c r="W13" s="390"/>
      <c r="X13" s="396"/>
    </row>
    <row r="14" spans="1:24" ht="15" x14ac:dyDescent="0.2">
      <c r="A14" s="402" t="s">
        <v>372</v>
      </c>
      <c r="B14" s="411" t="s">
        <v>372</v>
      </c>
      <c r="C14" s="414" t="s">
        <v>75</v>
      </c>
      <c r="D14" s="415"/>
      <c r="E14" s="411" t="s">
        <v>88</v>
      </c>
      <c r="F14" s="418" t="s">
        <v>699</v>
      </c>
      <c r="G14" s="98" t="s">
        <v>31</v>
      </c>
      <c r="H14" s="98" t="s">
        <v>32</v>
      </c>
      <c r="I14" s="98" t="s">
        <v>33</v>
      </c>
      <c r="J14" s="307" t="s">
        <v>38</v>
      </c>
      <c r="K14" s="302" t="s">
        <v>39</v>
      </c>
      <c r="L14" s="311">
        <v>45063</v>
      </c>
      <c r="M14" s="311">
        <v>45064</v>
      </c>
      <c r="N14" s="398">
        <f>8375.42/2</f>
        <v>4187.71</v>
      </c>
      <c r="O14" s="398">
        <f>8375.42/2</f>
        <v>4187.71</v>
      </c>
      <c r="P14" s="398">
        <f>SUM(N14:O16)</f>
        <v>8375.42</v>
      </c>
      <c r="Q14" s="408">
        <v>0</v>
      </c>
      <c r="R14" s="398">
        <v>0</v>
      </c>
      <c r="S14" s="408">
        <v>0</v>
      </c>
      <c r="T14" s="398">
        <v>0</v>
      </c>
      <c r="U14" s="408">
        <v>0</v>
      </c>
      <c r="V14" s="389">
        <f t="shared" si="4"/>
        <v>8375.42</v>
      </c>
      <c r="W14" s="389">
        <f t="shared" si="5"/>
        <v>8375.42</v>
      </c>
      <c r="X14" s="396"/>
    </row>
    <row r="15" spans="1:24" ht="15" x14ac:dyDescent="0.2">
      <c r="A15" s="410"/>
      <c r="B15" s="412"/>
      <c r="C15" s="414"/>
      <c r="D15" s="416"/>
      <c r="E15" s="412"/>
      <c r="F15" s="419"/>
      <c r="G15" s="98" t="s">
        <v>31</v>
      </c>
      <c r="H15" s="310" t="s">
        <v>121</v>
      </c>
      <c r="I15" s="302" t="s">
        <v>39</v>
      </c>
      <c r="J15" s="310" t="s">
        <v>121</v>
      </c>
      <c r="K15" s="310" t="s">
        <v>62</v>
      </c>
      <c r="L15" s="311">
        <v>45064</v>
      </c>
      <c r="M15" s="311">
        <v>45064</v>
      </c>
      <c r="N15" s="407"/>
      <c r="O15" s="407"/>
      <c r="P15" s="407"/>
      <c r="Q15" s="408"/>
      <c r="R15" s="407"/>
      <c r="S15" s="408"/>
      <c r="T15" s="407"/>
      <c r="U15" s="408"/>
      <c r="V15" s="409"/>
      <c r="W15" s="409"/>
      <c r="X15" s="396"/>
    </row>
    <row r="16" spans="1:24" ht="15" x14ac:dyDescent="0.2">
      <c r="A16" s="403"/>
      <c r="B16" s="413"/>
      <c r="C16" s="414"/>
      <c r="D16" s="417"/>
      <c r="E16" s="413"/>
      <c r="F16" s="420"/>
      <c r="G16" s="98" t="s">
        <v>31</v>
      </c>
      <c r="H16" s="307" t="s">
        <v>38</v>
      </c>
      <c r="I16" s="310" t="s">
        <v>62</v>
      </c>
      <c r="J16" s="310" t="s">
        <v>111</v>
      </c>
      <c r="K16" s="310" t="s">
        <v>112</v>
      </c>
      <c r="L16" s="311">
        <v>45064</v>
      </c>
      <c r="M16" s="311">
        <v>45064</v>
      </c>
      <c r="N16" s="399"/>
      <c r="O16" s="399"/>
      <c r="P16" s="399"/>
      <c r="Q16" s="408"/>
      <c r="R16" s="399"/>
      <c r="S16" s="408"/>
      <c r="T16" s="399"/>
      <c r="U16" s="408"/>
      <c r="V16" s="390"/>
      <c r="W16" s="390"/>
      <c r="X16" s="396"/>
    </row>
    <row r="17" spans="1:24" ht="15" x14ac:dyDescent="0.2">
      <c r="A17" s="402" t="s">
        <v>229</v>
      </c>
      <c r="B17" s="411" t="s">
        <v>229</v>
      </c>
      <c r="C17" s="414" t="s">
        <v>698</v>
      </c>
      <c r="D17" s="415"/>
      <c r="E17" s="411" t="s">
        <v>561</v>
      </c>
      <c r="F17" s="418" t="s">
        <v>699</v>
      </c>
      <c r="G17" s="98" t="s">
        <v>31</v>
      </c>
      <c r="H17" s="98" t="s">
        <v>32</v>
      </c>
      <c r="I17" s="98" t="s">
        <v>33</v>
      </c>
      <c r="J17" s="307" t="s">
        <v>38</v>
      </c>
      <c r="K17" s="302" t="s">
        <v>39</v>
      </c>
      <c r="L17" s="311">
        <v>45063</v>
      </c>
      <c r="M17" s="311">
        <v>45064</v>
      </c>
      <c r="N17" s="398">
        <f>8219.66/2</f>
        <v>4109.83</v>
      </c>
      <c r="O17" s="398">
        <f>8219.66/2</f>
        <v>4109.83</v>
      </c>
      <c r="P17" s="398">
        <f>SUM(N17:O19)</f>
        <v>8219.66</v>
      </c>
      <c r="Q17" s="408">
        <v>0</v>
      </c>
      <c r="R17" s="398">
        <v>0</v>
      </c>
      <c r="S17" s="408">
        <v>0</v>
      </c>
      <c r="T17" s="398">
        <v>0</v>
      </c>
      <c r="U17" s="408">
        <v>0</v>
      </c>
      <c r="V17" s="389">
        <f t="shared" ref="V17" si="6">P17+U17</f>
        <v>8219.66</v>
      </c>
      <c r="W17" s="389">
        <f t="shared" ref="W17" si="7">V17</f>
        <v>8219.66</v>
      </c>
      <c r="X17" s="396"/>
    </row>
    <row r="18" spans="1:24" ht="15" x14ac:dyDescent="0.2">
      <c r="A18" s="410"/>
      <c r="B18" s="412"/>
      <c r="C18" s="414"/>
      <c r="D18" s="416"/>
      <c r="E18" s="412"/>
      <c r="F18" s="419"/>
      <c r="G18" s="98" t="s">
        <v>31</v>
      </c>
      <c r="H18" s="307" t="s">
        <v>38</v>
      </c>
      <c r="I18" s="302" t="s">
        <v>39</v>
      </c>
      <c r="J18" s="310" t="s">
        <v>121</v>
      </c>
      <c r="K18" s="310" t="s">
        <v>62</v>
      </c>
      <c r="L18" s="311">
        <v>45064</v>
      </c>
      <c r="M18" s="311">
        <v>45064</v>
      </c>
      <c r="N18" s="407"/>
      <c r="O18" s="407"/>
      <c r="P18" s="407"/>
      <c r="Q18" s="408"/>
      <c r="R18" s="407"/>
      <c r="S18" s="408"/>
      <c r="T18" s="407"/>
      <c r="U18" s="408"/>
      <c r="V18" s="409"/>
      <c r="W18" s="409"/>
      <c r="X18" s="396"/>
    </row>
    <row r="19" spans="1:24" ht="15" x14ac:dyDescent="0.2">
      <c r="A19" s="403"/>
      <c r="B19" s="413"/>
      <c r="C19" s="414"/>
      <c r="D19" s="417"/>
      <c r="E19" s="413"/>
      <c r="F19" s="420"/>
      <c r="G19" s="98" t="s">
        <v>31</v>
      </c>
      <c r="H19" s="310" t="s">
        <v>121</v>
      </c>
      <c r="I19" s="310" t="s">
        <v>62</v>
      </c>
      <c r="J19" s="98" t="s">
        <v>32</v>
      </c>
      <c r="K19" s="98" t="s">
        <v>33</v>
      </c>
      <c r="L19" s="311">
        <v>45064</v>
      </c>
      <c r="M19" s="311">
        <v>45064</v>
      </c>
      <c r="N19" s="399"/>
      <c r="O19" s="399"/>
      <c r="P19" s="399"/>
      <c r="Q19" s="408"/>
      <c r="R19" s="399"/>
      <c r="S19" s="408"/>
      <c r="T19" s="399"/>
      <c r="U19" s="408"/>
      <c r="V19" s="390"/>
      <c r="W19" s="390"/>
      <c r="X19" s="396"/>
    </row>
  </sheetData>
  <mergeCells count="77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A14:A16"/>
    <mergeCell ref="B14:B16"/>
    <mergeCell ref="C14:C16"/>
    <mergeCell ref="D14:D16"/>
    <mergeCell ref="E14:E16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T17:T19"/>
    <mergeCell ref="U17:U19"/>
    <mergeCell ref="V17:V19"/>
    <mergeCell ref="W17:W19"/>
    <mergeCell ref="X17:X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14" sqref="D14:E14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s="268" customFormat="1" ht="30" x14ac:dyDescent="0.2">
      <c r="A5" s="308" t="s">
        <v>372</v>
      </c>
      <c r="B5" s="308" t="s">
        <v>372</v>
      </c>
      <c r="C5" s="309" t="s">
        <v>75</v>
      </c>
      <c r="D5" s="303">
        <v>0</v>
      </c>
      <c r="E5" s="258" t="s">
        <v>88</v>
      </c>
      <c r="F5" s="308" t="s">
        <v>713</v>
      </c>
      <c r="G5" s="98" t="s">
        <v>31</v>
      </c>
      <c r="H5" s="98" t="s">
        <v>111</v>
      </c>
      <c r="I5" s="98" t="s">
        <v>112</v>
      </c>
      <c r="J5" s="309" t="s">
        <v>38</v>
      </c>
      <c r="K5" s="309" t="s">
        <v>39</v>
      </c>
      <c r="L5" s="266">
        <v>45096</v>
      </c>
      <c r="M5" s="266">
        <v>45099</v>
      </c>
      <c r="N5" s="267">
        <f>2027.55/2</f>
        <v>1013.775</v>
      </c>
      <c r="O5" s="267">
        <f>2027.55/2</f>
        <v>1013.775</v>
      </c>
      <c r="P5" s="267">
        <f t="shared" ref="P5:P15" si="0">SUM(N5:O5)</f>
        <v>2027.55</v>
      </c>
      <c r="Q5" s="305">
        <v>0</v>
      </c>
      <c r="R5" s="267">
        <v>0</v>
      </c>
      <c r="S5" s="305">
        <v>0</v>
      </c>
      <c r="T5" s="267">
        <v>0</v>
      </c>
      <c r="U5" s="304">
        <f t="shared" ref="U5:U9" si="1">Q5*R5+S5*T5</f>
        <v>0</v>
      </c>
      <c r="V5" s="304">
        <f t="shared" ref="V5:V9" si="2">P5+U5</f>
        <v>2027.55</v>
      </c>
      <c r="W5" s="304">
        <f t="shared" ref="W5:W9" si="3">V5</f>
        <v>2027.55</v>
      </c>
      <c r="X5" s="305"/>
    </row>
    <row r="6" spans="1:24" s="268" customFormat="1" ht="15" x14ac:dyDescent="0.2">
      <c r="A6" s="327" t="s">
        <v>250</v>
      </c>
      <c r="B6" s="308" t="s">
        <v>212</v>
      </c>
      <c r="C6" s="309" t="s">
        <v>40</v>
      </c>
      <c r="D6" s="303">
        <v>129</v>
      </c>
      <c r="E6" s="318" t="s">
        <v>53</v>
      </c>
      <c r="F6" s="308" t="s">
        <v>714</v>
      </c>
      <c r="G6" s="98" t="s">
        <v>31</v>
      </c>
      <c r="H6" s="98" t="s">
        <v>32</v>
      </c>
      <c r="I6" s="98" t="s">
        <v>33</v>
      </c>
      <c r="J6" s="309" t="s">
        <v>32</v>
      </c>
      <c r="K6" s="309" t="s">
        <v>390</v>
      </c>
      <c r="L6" s="266">
        <v>45090</v>
      </c>
      <c r="M6" s="266">
        <v>45093</v>
      </c>
      <c r="N6" s="267">
        <f>3267.13/2</f>
        <v>1633.5650000000001</v>
      </c>
      <c r="O6" s="267">
        <f>3267.13/2</f>
        <v>1633.5650000000001</v>
      </c>
      <c r="P6" s="267">
        <f t="shared" si="0"/>
        <v>3267.13</v>
      </c>
      <c r="Q6" s="305">
        <v>4</v>
      </c>
      <c r="R6" s="267">
        <v>120</v>
      </c>
      <c r="S6" s="305">
        <v>0</v>
      </c>
      <c r="T6" s="267">
        <v>0</v>
      </c>
      <c r="U6" s="304">
        <f t="shared" si="1"/>
        <v>480</v>
      </c>
      <c r="V6" s="304">
        <f t="shared" si="2"/>
        <v>3747.13</v>
      </c>
      <c r="W6" s="304">
        <f t="shared" si="3"/>
        <v>3747.13</v>
      </c>
      <c r="X6" s="305"/>
    </row>
    <row r="7" spans="1:24" s="268" customFormat="1" ht="15" x14ac:dyDescent="0.2">
      <c r="A7" s="308" t="s">
        <v>372</v>
      </c>
      <c r="B7" s="308" t="s">
        <v>372</v>
      </c>
      <c r="C7" s="309" t="s">
        <v>134</v>
      </c>
      <c r="D7" s="303">
        <v>202</v>
      </c>
      <c r="E7" s="309" t="s">
        <v>704</v>
      </c>
      <c r="F7" s="308" t="s">
        <v>711</v>
      </c>
      <c r="G7" s="98" t="s">
        <v>31</v>
      </c>
      <c r="H7" s="98" t="s">
        <v>32</v>
      </c>
      <c r="I7" s="98" t="s">
        <v>33</v>
      </c>
      <c r="J7" s="309" t="s">
        <v>61</v>
      </c>
      <c r="K7" s="309" t="s">
        <v>62</v>
      </c>
      <c r="L7" s="266">
        <v>45088</v>
      </c>
      <c r="M7" s="266">
        <v>45090</v>
      </c>
      <c r="N7" s="267">
        <f>1290.96/2</f>
        <v>645.48</v>
      </c>
      <c r="O7" s="267">
        <f>1290.96/2</f>
        <v>645.48</v>
      </c>
      <c r="P7" s="267">
        <f t="shared" si="0"/>
        <v>1290.96</v>
      </c>
      <c r="Q7" s="305">
        <v>3</v>
      </c>
      <c r="R7" s="267">
        <v>120</v>
      </c>
      <c r="S7" s="305">
        <v>0</v>
      </c>
      <c r="T7" s="267">
        <v>0</v>
      </c>
      <c r="U7" s="304">
        <f t="shared" si="1"/>
        <v>360</v>
      </c>
      <c r="V7" s="304">
        <f t="shared" si="2"/>
        <v>1650.96</v>
      </c>
      <c r="W7" s="304">
        <f t="shared" si="3"/>
        <v>1650.96</v>
      </c>
      <c r="X7" s="305"/>
    </row>
    <row r="8" spans="1:24" s="268" customFormat="1" ht="15" x14ac:dyDescent="0.2">
      <c r="A8" s="308" t="s">
        <v>372</v>
      </c>
      <c r="B8" s="308" t="s">
        <v>238</v>
      </c>
      <c r="C8" s="309" t="s">
        <v>135</v>
      </c>
      <c r="D8" s="303">
        <v>230</v>
      </c>
      <c r="E8" s="318" t="s">
        <v>710</v>
      </c>
      <c r="F8" s="308" t="s">
        <v>711</v>
      </c>
      <c r="G8" s="98" t="s">
        <v>31</v>
      </c>
      <c r="H8" s="98" t="s">
        <v>32</v>
      </c>
      <c r="I8" s="98" t="s">
        <v>33</v>
      </c>
      <c r="J8" s="309" t="s">
        <v>61</v>
      </c>
      <c r="K8" s="309" t="s">
        <v>62</v>
      </c>
      <c r="L8" s="266">
        <v>45088</v>
      </c>
      <c r="M8" s="266">
        <v>45090</v>
      </c>
      <c r="N8" s="267">
        <f>1290.96/2</f>
        <v>645.48</v>
      </c>
      <c r="O8" s="267">
        <f>1290.96/2</f>
        <v>645.48</v>
      </c>
      <c r="P8" s="267">
        <f t="shared" si="0"/>
        <v>1290.96</v>
      </c>
      <c r="Q8" s="305">
        <v>3</v>
      </c>
      <c r="R8" s="267">
        <v>120</v>
      </c>
      <c r="S8" s="305">
        <v>0</v>
      </c>
      <c r="T8" s="267">
        <v>0</v>
      </c>
      <c r="U8" s="304">
        <f t="shared" si="1"/>
        <v>360</v>
      </c>
      <c r="V8" s="304">
        <f t="shared" si="2"/>
        <v>1650.96</v>
      </c>
      <c r="W8" s="304">
        <f t="shared" si="3"/>
        <v>1650.96</v>
      </c>
      <c r="X8" s="305"/>
    </row>
    <row r="9" spans="1:24" s="268" customFormat="1" ht="15" x14ac:dyDescent="0.2">
      <c r="A9" s="308" t="s">
        <v>229</v>
      </c>
      <c r="B9" s="308" t="s">
        <v>229</v>
      </c>
      <c r="C9" s="309" t="s">
        <v>698</v>
      </c>
      <c r="D9" s="303">
        <v>0</v>
      </c>
      <c r="E9" s="306" t="s">
        <v>561</v>
      </c>
      <c r="F9" s="308" t="s">
        <v>716</v>
      </c>
      <c r="G9" s="98" t="s">
        <v>31</v>
      </c>
      <c r="H9" s="98" t="s">
        <v>32</v>
      </c>
      <c r="I9" s="98" t="s">
        <v>33</v>
      </c>
      <c r="J9" s="309" t="s">
        <v>61</v>
      </c>
      <c r="K9" s="309" t="s">
        <v>62</v>
      </c>
      <c r="L9" s="266">
        <v>45091</v>
      </c>
      <c r="M9" s="266">
        <v>45092</v>
      </c>
      <c r="N9" s="267">
        <f>6397.34/2</f>
        <v>3198.67</v>
      </c>
      <c r="O9" s="267">
        <f>6397.34/2</f>
        <v>3198.67</v>
      </c>
      <c r="P9" s="267">
        <f t="shared" si="0"/>
        <v>6397.34</v>
      </c>
      <c r="Q9" s="305">
        <v>0</v>
      </c>
      <c r="R9" s="267">
        <v>0</v>
      </c>
      <c r="S9" s="305">
        <v>0</v>
      </c>
      <c r="T9" s="267">
        <v>0</v>
      </c>
      <c r="U9" s="304">
        <f t="shared" si="1"/>
        <v>0</v>
      </c>
      <c r="V9" s="304">
        <f t="shared" si="2"/>
        <v>6397.34</v>
      </c>
      <c r="W9" s="304">
        <f t="shared" si="3"/>
        <v>6397.34</v>
      </c>
      <c r="X9" s="305"/>
    </row>
    <row r="10" spans="1:24" s="268" customFormat="1" ht="15" x14ac:dyDescent="0.2">
      <c r="A10" s="308" t="s">
        <v>229</v>
      </c>
      <c r="B10" s="318" t="s">
        <v>707</v>
      </c>
      <c r="C10" s="309" t="s">
        <v>706</v>
      </c>
      <c r="D10" s="303">
        <v>0</v>
      </c>
      <c r="E10" s="289" t="s">
        <v>709</v>
      </c>
      <c r="F10" s="308" t="s">
        <v>715</v>
      </c>
      <c r="G10" s="98" t="s">
        <v>31</v>
      </c>
      <c r="H10" s="98" t="s">
        <v>38</v>
      </c>
      <c r="I10" s="98" t="s">
        <v>39</v>
      </c>
      <c r="J10" s="309" t="s">
        <v>32</v>
      </c>
      <c r="K10" s="309" t="s">
        <v>33</v>
      </c>
      <c r="L10" s="266">
        <v>45103</v>
      </c>
      <c r="M10" s="266">
        <v>45103</v>
      </c>
      <c r="N10" s="267">
        <v>2364.62</v>
      </c>
      <c r="O10" s="267">
        <v>8486.1200000000008</v>
      </c>
      <c r="P10" s="267">
        <f t="shared" si="0"/>
        <v>10850.740000000002</v>
      </c>
      <c r="Q10" s="305">
        <v>0</v>
      </c>
      <c r="R10" s="267">
        <v>0</v>
      </c>
      <c r="S10" s="305">
        <v>0</v>
      </c>
      <c r="T10" s="267">
        <v>0</v>
      </c>
      <c r="U10" s="304">
        <f t="shared" ref="U10:U15" si="4">Q10*R10+S10*T10</f>
        <v>0</v>
      </c>
      <c r="V10" s="304">
        <f t="shared" ref="V10:V15" si="5">P10+U10</f>
        <v>10850.740000000002</v>
      </c>
      <c r="W10" s="304">
        <f t="shared" ref="W10:W15" si="6">V10</f>
        <v>10850.740000000002</v>
      </c>
      <c r="X10" s="305"/>
    </row>
    <row r="11" spans="1:24" s="268" customFormat="1" ht="15" x14ac:dyDescent="0.2">
      <c r="A11" s="308" t="s">
        <v>229</v>
      </c>
      <c r="B11" s="308" t="s">
        <v>707</v>
      </c>
      <c r="C11" s="309" t="s">
        <v>708</v>
      </c>
      <c r="D11" s="303">
        <v>0</v>
      </c>
      <c r="E11" s="289" t="s">
        <v>709</v>
      </c>
      <c r="F11" s="308" t="s">
        <v>715</v>
      </c>
      <c r="G11" s="98" t="s">
        <v>31</v>
      </c>
      <c r="H11" s="98" t="s">
        <v>38</v>
      </c>
      <c r="I11" s="98" t="s">
        <v>39</v>
      </c>
      <c r="J11" s="309" t="s">
        <v>32</v>
      </c>
      <c r="K11" s="309" t="s">
        <v>33</v>
      </c>
      <c r="L11" s="266">
        <v>45103</v>
      </c>
      <c r="M11" s="266">
        <v>45103</v>
      </c>
      <c r="N11" s="267">
        <v>2364.62</v>
      </c>
      <c r="O11" s="267">
        <v>8486.1200000000008</v>
      </c>
      <c r="P11" s="267">
        <f t="shared" si="0"/>
        <v>10850.740000000002</v>
      </c>
      <c r="Q11" s="305">
        <v>0</v>
      </c>
      <c r="R11" s="267">
        <v>0</v>
      </c>
      <c r="S11" s="305">
        <v>0</v>
      </c>
      <c r="T11" s="267">
        <v>0</v>
      </c>
      <c r="U11" s="304">
        <f t="shared" si="4"/>
        <v>0</v>
      </c>
      <c r="V11" s="304">
        <f t="shared" si="5"/>
        <v>10850.740000000002</v>
      </c>
      <c r="W11" s="304">
        <f t="shared" si="6"/>
        <v>10850.740000000002</v>
      </c>
      <c r="X11" s="305"/>
    </row>
    <row r="12" spans="1:24" s="268" customFormat="1" ht="15" x14ac:dyDescent="0.2">
      <c r="A12" s="308" t="s">
        <v>229</v>
      </c>
      <c r="B12" s="308" t="s">
        <v>229</v>
      </c>
      <c r="C12" s="309" t="s">
        <v>698</v>
      </c>
      <c r="D12" s="303">
        <v>0</v>
      </c>
      <c r="E12" s="306" t="s">
        <v>561</v>
      </c>
      <c r="F12" s="308" t="s">
        <v>719</v>
      </c>
      <c r="G12" s="98" t="s">
        <v>31</v>
      </c>
      <c r="H12" s="98" t="s">
        <v>32</v>
      </c>
      <c r="I12" s="98" t="s">
        <v>33</v>
      </c>
      <c r="J12" s="309" t="s">
        <v>61</v>
      </c>
      <c r="K12" s="309" t="s">
        <v>62</v>
      </c>
      <c r="L12" s="266">
        <v>45105</v>
      </c>
      <c r="M12" s="266">
        <v>45107</v>
      </c>
      <c r="N12" s="267">
        <f>857.63/2</f>
        <v>428.815</v>
      </c>
      <c r="O12" s="267">
        <f>857.63/2</f>
        <v>428.815</v>
      </c>
      <c r="P12" s="267">
        <f t="shared" si="0"/>
        <v>857.63</v>
      </c>
      <c r="Q12" s="305">
        <v>0</v>
      </c>
      <c r="R12" s="267">
        <v>0</v>
      </c>
      <c r="S12" s="305">
        <v>0</v>
      </c>
      <c r="T12" s="267">
        <v>0</v>
      </c>
      <c r="U12" s="304">
        <f t="shared" si="4"/>
        <v>0</v>
      </c>
      <c r="V12" s="304">
        <f t="shared" si="5"/>
        <v>857.63</v>
      </c>
      <c r="W12" s="304">
        <f t="shared" si="6"/>
        <v>857.63</v>
      </c>
      <c r="X12" s="305"/>
    </row>
    <row r="13" spans="1:24" s="268" customFormat="1" ht="15" x14ac:dyDescent="0.2">
      <c r="A13" s="308" t="s">
        <v>229</v>
      </c>
      <c r="B13" s="308" t="s">
        <v>461</v>
      </c>
      <c r="C13" s="309" t="s">
        <v>396</v>
      </c>
      <c r="D13" s="303">
        <v>349</v>
      </c>
      <c r="E13" s="318" t="s">
        <v>406</v>
      </c>
      <c r="F13" s="308" t="s">
        <v>712</v>
      </c>
      <c r="G13" s="98" t="s">
        <v>31</v>
      </c>
      <c r="H13" s="98" t="s">
        <v>32</v>
      </c>
      <c r="I13" s="98" t="s">
        <v>33</v>
      </c>
      <c r="J13" s="309" t="s">
        <v>462</v>
      </c>
      <c r="K13" s="309" t="s">
        <v>424</v>
      </c>
      <c r="L13" s="266">
        <v>45076</v>
      </c>
      <c r="M13" s="266">
        <v>45079</v>
      </c>
      <c r="N13" s="267">
        <f>2382.9/2</f>
        <v>1191.45</v>
      </c>
      <c r="O13" s="267">
        <f>2382.9/2</f>
        <v>1191.45</v>
      </c>
      <c r="P13" s="267">
        <f t="shared" si="0"/>
        <v>2382.9</v>
      </c>
      <c r="Q13" s="305">
        <v>4</v>
      </c>
      <c r="R13" s="267">
        <v>120</v>
      </c>
      <c r="S13" s="305">
        <v>0</v>
      </c>
      <c r="T13" s="267">
        <v>0</v>
      </c>
      <c r="U13" s="304">
        <f t="shared" si="4"/>
        <v>480</v>
      </c>
      <c r="V13" s="304">
        <f t="shared" si="5"/>
        <v>2862.9</v>
      </c>
      <c r="W13" s="304">
        <f t="shared" si="6"/>
        <v>2862.9</v>
      </c>
      <c r="X13" s="305"/>
    </row>
    <row r="14" spans="1:24" s="268" customFormat="1" ht="45" x14ac:dyDescent="0.2">
      <c r="A14" s="308" t="s">
        <v>250</v>
      </c>
      <c r="B14" s="308" t="s">
        <v>258</v>
      </c>
      <c r="C14" s="309" t="s">
        <v>609</v>
      </c>
      <c r="D14" s="303">
        <v>372</v>
      </c>
      <c r="E14" s="319" t="s">
        <v>208</v>
      </c>
      <c r="F14" s="308" t="s">
        <v>718</v>
      </c>
      <c r="G14" s="98" t="s">
        <v>31</v>
      </c>
      <c r="H14" s="98" t="s">
        <v>32</v>
      </c>
      <c r="I14" s="98" t="s">
        <v>33</v>
      </c>
      <c r="J14" s="309" t="s">
        <v>32</v>
      </c>
      <c r="K14" s="309" t="s">
        <v>390</v>
      </c>
      <c r="L14" s="266">
        <v>45076</v>
      </c>
      <c r="M14" s="266">
        <v>45078</v>
      </c>
      <c r="N14" s="267">
        <f>5019.13/2</f>
        <v>2509.5650000000001</v>
      </c>
      <c r="O14" s="267">
        <f>5019.13/2</f>
        <v>2509.5650000000001</v>
      </c>
      <c r="P14" s="267">
        <f t="shared" si="0"/>
        <v>5019.13</v>
      </c>
      <c r="Q14" s="305">
        <v>3</v>
      </c>
      <c r="R14" s="267">
        <v>120</v>
      </c>
      <c r="S14" s="305">
        <v>0</v>
      </c>
      <c r="T14" s="267">
        <v>0</v>
      </c>
      <c r="U14" s="304">
        <f t="shared" si="4"/>
        <v>360</v>
      </c>
      <c r="V14" s="304">
        <f t="shared" si="5"/>
        <v>5379.13</v>
      </c>
      <c r="W14" s="304">
        <f t="shared" si="6"/>
        <v>5379.13</v>
      </c>
      <c r="X14" s="305"/>
    </row>
    <row r="15" spans="1:24" s="268" customFormat="1" ht="15" x14ac:dyDescent="0.2">
      <c r="A15" s="308" t="s">
        <v>229</v>
      </c>
      <c r="B15" s="308" t="s">
        <v>229</v>
      </c>
      <c r="C15" s="309" t="s">
        <v>698</v>
      </c>
      <c r="D15" s="303">
        <v>0</v>
      </c>
      <c r="E15" s="306" t="s">
        <v>561</v>
      </c>
      <c r="F15" s="308" t="s">
        <v>717</v>
      </c>
      <c r="G15" s="98" t="s">
        <v>31</v>
      </c>
      <c r="H15" s="98" t="s">
        <v>32</v>
      </c>
      <c r="I15" s="98" t="s">
        <v>33</v>
      </c>
      <c r="J15" s="309" t="s">
        <v>61</v>
      </c>
      <c r="K15" s="309" t="s">
        <v>62</v>
      </c>
      <c r="L15" s="266">
        <v>45077</v>
      </c>
      <c r="M15" s="266">
        <v>45078</v>
      </c>
      <c r="N15" s="267">
        <f>(5331.47+0.47)/2</f>
        <v>2665.9700000000003</v>
      </c>
      <c r="O15" s="267">
        <f>(5331.47+0.47)/2</f>
        <v>2665.9700000000003</v>
      </c>
      <c r="P15" s="267">
        <f t="shared" si="0"/>
        <v>5331.9400000000005</v>
      </c>
      <c r="Q15" s="305">
        <v>0</v>
      </c>
      <c r="R15" s="267">
        <v>0</v>
      </c>
      <c r="S15" s="305">
        <v>0</v>
      </c>
      <c r="T15" s="267">
        <v>0</v>
      </c>
      <c r="U15" s="304">
        <f t="shared" si="4"/>
        <v>0</v>
      </c>
      <c r="V15" s="304">
        <f t="shared" si="5"/>
        <v>5331.9400000000005</v>
      </c>
      <c r="W15" s="304">
        <f t="shared" si="6"/>
        <v>5331.9400000000005</v>
      </c>
      <c r="X15" s="305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E5" sqref="E5:E6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s="268" customFormat="1" ht="15" x14ac:dyDescent="0.2">
      <c r="A5" s="423" t="s">
        <v>372</v>
      </c>
      <c r="B5" s="423" t="s">
        <v>372</v>
      </c>
      <c r="C5" s="426" t="s">
        <v>75</v>
      </c>
      <c r="D5" s="426">
        <v>0</v>
      </c>
      <c r="E5" s="427" t="s">
        <v>88</v>
      </c>
      <c r="F5" s="423" t="s">
        <v>722</v>
      </c>
      <c r="G5" s="426" t="s">
        <v>31</v>
      </c>
      <c r="H5" s="98" t="s">
        <v>111</v>
      </c>
      <c r="I5" s="98" t="s">
        <v>112</v>
      </c>
      <c r="J5" s="316" t="s">
        <v>38</v>
      </c>
      <c r="K5" s="316" t="s">
        <v>39</v>
      </c>
      <c r="L5" s="404">
        <v>45110</v>
      </c>
      <c r="M5" s="404">
        <v>45111</v>
      </c>
      <c r="N5" s="398">
        <f>3242.09/2</f>
        <v>1621.0450000000001</v>
      </c>
      <c r="O5" s="398">
        <f>3242.09/2</f>
        <v>1621.0450000000001</v>
      </c>
      <c r="P5" s="398">
        <f t="shared" ref="P5:P13" si="0">SUM(N5:O5)</f>
        <v>3242.09</v>
      </c>
      <c r="Q5" s="426">
        <v>0</v>
      </c>
      <c r="R5" s="426">
        <v>0</v>
      </c>
      <c r="S5" s="426">
        <v>0</v>
      </c>
      <c r="T5" s="426">
        <v>0</v>
      </c>
      <c r="U5" s="426">
        <f t="shared" ref="U5:U15" si="1">Q5*R5+S5*T5</f>
        <v>0</v>
      </c>
      <c r="V5" s="389">
        <f t="shared" ref="V5:V13" si="2">P5+U5</f>
        <v>3242.09</v>
      </c>
      <c r="W5" s="389">
        <f t="shared" ref="W5:W13" si="3">V5</f>
        <v>3242.09</v>
      </c>
      <c r="X5" s="426"/>
    </row>
    <row r="6" spans="1:24" s="268" customFormat="1" ht="15" x14ac:dyDescent="0.2">
      <c r="A6" s="425"/>
      <c r="B6" s="425"/>
      <c r="C6" s="425"/>
      <c r="D6" s="425"/>
      <c r="E6" s="425"/>
      <c r="F6" s="425"/>
      <c r="G6" s="425"/>
      <c r="H6" s="316" t="s">
        <v>38</v>
      </c>
      <c r="I6" s="316" t="s">
        <v>39</v>
      </c>
      <c r="J6" s="327" t="s">
        <v>32</v>
      </c>
      <c r="K6" s="327" t="s">
        <v>33</v>
      </c>
      <c r="L6" s="405"/>
      <c r="M6" s="405"/>
      <c r="N6" s="399"/>
      <c r="O6" s="399"/>
      <c r="P6" s="399"/>
      <c r="Q6" s="425"/>
      <c r="R6" s="425"/>
      <c r="S6" s="425"/>
      <c r="T6" s="425"/>
      <c r="U6" s="425"/>
      <c r="V6" s="390"/>
      <c r="W6" s="390"/>
      <c r="X6" s="425"/>
    </row>
    <row r="7" spans="1:24" s="268" customFormat="1" ht="15" x14ac:dyDescent="0.2">
      <c r="A7" s="317" t="s">
        <v>372</v>
      </c>
      <c r="B7" s="317" t="s">
        <v>372</v>
      </c>
      <c r="C7" s="316" t="s">
        <v>134</v>
      </c>
      <c r="D7" s="312">
        <v>202</v>
      </c>
      <c r="E7" s="316" t="s">
        <v>704</v>
      </c>
      <c r="F7" s="317" t="s">
        <v>722</v>
      </c>
      <c r="G7" s="98" t="s">
        <v>31</v>
      </c>
      <c r="H7" s="98" t="s">
        <v>32</v>
      </c>
      <c r="I7" s="98" t="s">
        <v>33</v>
      </c>
      <c r="J7" s="316" t="s">
        <v>38</v>
      </c>
      <c r="K7" s="316" t="s">
        <v>39</v>
      </c>
      <c r="L7" s="266">
        <v>45110</v>
      </c>
      <c r="M7" s="266">
        <v>45111</v>
      </c>
      <c r="N7" s="315">
        <f>5098.83/2</f>
        <v>2549.415</v>
      </c>
      <c r="O7" s="315">
        <f>5098.83/2</f>
        <v>2549.415</v>
      </c>
      <c r="P7" s="315">
        <f t="shared" si="0"/>
        <v>5098.83</v>
      </c>
      <c r="Q7" s="314">
        <v>2</v>
      </c>
      <c r="R7" s="267">
        <v>120</v>
      </c>
      <c r="S7" s="314">
        <v>0</v>
      </c>
      <c r="T7" s="267">
        <v>0</v>
      </c>
      <c r="U7" s="313">
        <f t="shared" si="1"/>
        <v>240</v>
      </c>
      <c r="V7" s="313">
        <f t="shared" si="2"/>
        <v>5338.83</v>
      </c>
      <c r="W7" s="313">
        <f t="shared" si="3"/>
        <v>5338.83</v>
      </c>
      <c r="X7" s="314"/>
    </row>
    <row r="8" spans="1:24" s="268" customFormat="1" ht="15" x14ac:dyDescent="0.2">
      <c r="A8" s="317" t="s">
        <v>372</v>
      </c>
      <c r="B8" s="317" t="s">
        <v>238</v>
      </c>
      <c r="C8" s="316" t="s">
        <v>135</v>
      </c>
      <c r="D8" s="312">
        <v>230</v>
      </c>
      <c r="E8" s="318" t="s">
        <v>710</v>
      </c>
      <c r="F8" s="317" t="s">
        <v>722</v>
      </c>
      <c r="G8" s="98" t="s">
        <v>31</v>
      </c>
      <c r="H8" s="98" t="s">
        <v>32</v>
      </c>
      <c r="I8" s="98" t="s">
        <v>33</v>
      </c>
      <c r="J8" s="316" t="s">
        <v>38</v>
      </c>
      <c r="K8" s="316" t="s">
        <v>39</v>
      </c>
      <c r="L8" s="266">
        <v>45110</v>
      </c>
      <c r="M8" s="266">
        <v>45111</v>
      </c>
      <c r="N8" s="315">
        <f>5098.83/2</f>
        <v>2549.415</v>
      </c>
      <c r="O8" s="315">
        <f>5098.83/2</f>
        <v>2549.415</v>
      </c>
      <c r="P8" s="315">
        <f t="shared" si="0"/>
        <v>5098.83</v>
      </c>
      <c r="Q8" s="314">
        <v>2</v>
      </c>
      <c r="R8" s="267">
        <v>120</v>
      </c>
      <c r="S8" s="314">
        <v>0</v>
      </c>
      <c r="T8" s="267">
        <v>0</v>
      </c>
      <c r="U8" s="313">
        <f t="shared" si="1"/>
        <v>240</v>
      </c>
      <c r="V8" s="313">
        <f t="shared" si="2"/>
        <v>5338.83</v>
      </c>
      <c r="W8" s="313">
        <f t="shared" si="3"/>
        <v>5338.83</v>
      </c>
      <c r="X8" s="314"/>
    </row>
    <row r="9" spans="1:24" s="268" customFormat="1" ht="15" x14ac:dyDescent="0.2">
      <c r="A9" s="317" t="s">
        <v>250</v>
      </c>
      <c r="B9" s="317" t="s">
        <v>212</v>
      </c>
      <c r="C9" s="316" t="s">
        <v>612</v>
      </c>
      <c r="D9" s="312">
        <v>365</v>
      </c>
      <c r="E9" s="285" t="s">
        <v>52</v>
      </c>
      <c r="F9" s="327" t="s">
        <v>723</v>
      </c>
      <c r="G9" s="98" t="s">
        <v>31</v>
      </c>
      <c r="H9" s="98" t="s">
        <v>32</v>
      </c>
      <c r="I9" s="98" t="s">
        <v>33</v>
      </c>
      <c r="J9" s="327" t="s">
        <v>32</v>
      </c>
      <c r="K9" s="327" t="s">
        <v>390</v>
      </c>
      <c r="L9" s="266">
        <v>45134</v>
      </c>
      <c r="M9" s="266">
        <v>45134</v>
      </c>
      <c r="N9" s="315">
        <f>1555.13/2</f>
        <v>777.56500000000005</v>
      </c>
      <c r="O9" s="315">
        <f>1555.13/2</f>
        <v>777.56500000000005</v>
      </c>
      <c r="P9" s="315">
        <f t="shared" si="0"/>
        <v>1555.13</v>
      </c>
      <c r="Q9" s="314">
        <v>1</v>
      </c>
      <c r="R9" s="267">
        <v>120</v>
      </c>
      <c r="S9" s="314">
        <v>0</v>
      </c>
      <c r="T9" s="267">
        <v>0</v>
      </c>
      <c r="U9" s="313">
        <f t="shared" si="1"/>
        <v>120</v>
      </c>
      <c r="V9" s="313">
        <f t="shared" si="2"/>
        <v>1675.13</v>
      </c>
      <c r="W9" s="313">
        <f t="shared" si="3"/>
        <v>1675.13</v>
      </c>
      <c r="X9" s="314"/>
    </row>
    <row r="10" spans="1:24" s="268" customFormat="1" ht="15" x14ac:dyDescent="0.2">
      <c r="A10" s="317" t="s">
        <v>250</v>
      </c>
      <c r="B10" s="317" t="s">
        <v>212</v>
      </c>
      <c r="C10" s="316" t="s">
        <v>270</v>
      </c>
      <c r="D10" s="312" t="s">
        <v>173</v>
      </c>
      <c r="E10" s="252" t="s">
        <v>599</v>
      </c>
      <c r="F10" s="327" t="s">
        <v>723</v>
      </c>
      <c r="G10" s="98" t="s">
        <v>31</v>
      </c>
      <c r="H10" s="98" t="s">
        <v>32</v>
      </c>
      <c r="I10" s="98" t="s">
        <v>33</v>
      </c>
      <c r="J10" s="327" t="s">
        <v>32</v>
      </c>
      <c r="K10" s="327" t="s">
        <v>390</v>
      </c>
      <c r="L10" s="266">
        <v>45134</v>
      </c>
      <c r="M10" s="266">
        <v>45134</v>
      </c>
      <c r="N10" s="315">
        <f>3264.36/2</f>
        <v>1632.18</v>
      </c>
      <c r="O10" s="315">
        <f>3264.36/2</f>
        <v>1632.18</v>
      </c>
      <c r="P10" s="315">
        <f t="shared" si="0"/>
        <v>3264.36</v>
      </c>
      <c r="Q10" s="314">
        <v>1</v>
      </c>
      <c r="R10" s="267">
        <v>120</v>
      </c>
      <c r="S10" s="314">
        <v>0</v>
      </c>
      <c r="T10" s="267">
        <v>0</v>
      </c>
      <c r="U10" s="313">
        <f t="shared" si="1"/>
        <v>120</v>
      </c>
      <c r="V10" s="313">
        <f t="shared" si="2"/>
        <v>3384.36</v>
      </c>
      <c r="W10" s="313">
        <f t="shared" si="3"/>
        <v>3384.36</v>
      </c>
      <c r="X10" s="314"/>
    </row>
    <row r="11" spans="1:24" s="268" customFormat="1" ht="15" x14ac:dyDescent="0.2">
      <c r="A11" s="327" t="s">
        <v>229</v>
      </c>
      <c r="B11" s="317" t="s">
        <v>229</v>
      </c>
      <c r="C11" s="316" t="s">
        <v>698</v>
      </c>
      <c r="D11" s="312">
        <v>0</v>
      </c>
      <c r="E11" s="327" t="s">
        <v>561</v>
      </c>
      <c r="F11" s="327" t="s">
        <v>721</v>
      </c>
      <c r="G11" s="98" t="s">
        <v>31</v>
      </c>
      <c r="H11" s="98" t="s">
        <v>32</v>
      </c>
      <c r="I11" s="98" t="s">
        <v>33</v>
      </c>
      <c r="J11" s="327" t="s">
        <v>462</v>
      </c>
      <c r="K11" s="327" t="s">
        <v>424</v>
      </c>
      <c r="L11" s="266">
        <v>45118</v>
      </c>
      <c r="M11" s="266">
        <v>45120</v>
      </c>
      <c r="N11" s="315">
        <v>1136.71</v>
      </c>
      <c r="O11" s="315">
        <v>1170.3800000000001</v>
      </c>
      <c r="P11" s="315">
        <f t="shared" si="0"/>
        <v>2307.09</v>
      </c>
      <c r="Q11" s="314">
        <v>0</v>
      </c>
      <c r="R11" s="267">
        <v>0</v>
      </c>
      <c r="S11" s="314">
        <v>0</v>
      </c>
      <c r="T11" s="267">
        <v>0</v>
      </c>
      <c r="U11" s="313">
        <f t="shared" ref="U11" si="4">Q11*R11+S11*T11</f>
        <v>0</v>
      </c>
      <c r="V11" s="313">
        <f t="shared" ref="V11" si="5">P11+U11</f>
        <v>2307.09</v>
      </c>
      <c r="W11" s="313">
        <f t="shared" ref="W11" si="6">V11</f>
        <v>2307.09</v>
      </c>
      <c r="X11" s="314"/>
    </row>
    <row r="12" spans="1:24" s="268" customFormat="1" ht="30" x14ac:dyDescent="0.2">
      <c r="A12" s="327" t="s">
        <v>229</v>
      </c>
      <c r="B12" s="318" t="s">
        <v>227</v>
      </c>
      <c r="C12" s="327" t="s">
        <v>646</v>
      </c>
      <c r="D12" s="312">
        <v>343</v>
      </c>
      <c r="E12" s="327" t="s">
        <v>725</v>
      </c>
      <c r="F12" s="328" t="s">
        <v>724</v>
      </c>
      <c r="G12" s="98" t="s">
        <v>31</v>
      </c>
      <c r="H12" s="98" t="s">
        <v>32</v>
      </c>
      <c r="I12" s="98" t="s">
        <v>33</v>
      </c>
      <c r="J12" s="327" t="s">
        <v>32</v>
      </c>
      <c r="K12" s="316" t="s">
        <v>255</v>
      </c>
      <c r="L12" s="266">
        <v>45138</v>
      </c>
      <c r="M12" s="266">
        <v>45139</v>
      </c>
      <c r="N12" s="315">
        <v>0</v>
      </c>
      <c r="O12" s="315">
        <v>0</v>
      </c>
      <c r="P12" s="315">
        <f t="shared" si="0"/>
        <v>0</v>
      </c>
      <c r="Q12" s="314">
        <v>0</v>
      </c>
      <c r="R12" s="267">
        <v>0</v>
      </c>
      <c r="S12" s="314">
        <v>0</v>
      </c>
      <c r="T12" s="267">
        <v>0</v>
      </c>
      <c r="U12" s="313">
        <f t="shared" si="1"/>
        <v>0</v>
      </c>
      <c r="V12" s="313">
        <f t="shared" si="2"/>
        <v>0</v>
      </c>
      <c r="W12" s="313">
        <f t="shared" si="3"/>
        <v>0</v>
      </c>
      <c r="X12" s="314"/>
    </row>
    <row r="13" spans="1:24" s="268" customFormat="1" ht="15" x14ac:dyDescent="0.2">
      <c r="A13" s="423" t="s">
        <v>229</v>
      </c>
      <c r="B13" s="423" t="s">
        <v>229</v>
      </c>
      <c r="C13" s="402" t="s">
        <v>698</v>
      </c>
      <c r="D13" s="402">
        <v>0</v>
      </c>
      <c r="E13" s="423" t="s">
        <v>561</v>
      </c>
      <c r="F13" s="423" t="s">
        <v>73</v>
      </c>
      <c r="G13" s="98" t="s">
        <v>31</v>
      </c>
      <c r="H13" s="98" t="s">
        <v>32</v>
      </c>
      <c r="I13" s="98" t="s">
        <v>33</v>
      </c>
      <c r="J13" s="327" t="s">
        <v>61</v>
      </c>
      <c r="K13" s="327" t="s">
        <v>62</v>
      </c>
      <c r="L13" s="424">
        <v>45138</v>
      </c>
      <c r="M13" s="424">
        <v>45142</v>
      </c>
      <c r="N13" s="398">
        <f>5571.04/3</f>
        <v>1857.0133333333333</v>
      </c>
      <c r="O13" s="398">
        <f>5571.04/3</f>
        <v>1857.0133333333333</v>
      </c>
      <c r="P13" s="398">
        <f t="shared" si="0"/>
        <v>3714.0266666666666</v>
      </c>
      <c r="Q13" s="402">
        <v>0</v>
      </c>
      <c r="R13" s="402">
        <v>0</v>
      </c>
      <c r="S13" s="402">
        <v>0</v>
      </c>
      <c r="T13" s="402">
        <v>0</v>
      </c>
      <c r="U13" s="402">
        <f t="shared" si="1"/>
        <v>0</v>
      </c>
      <c r="V13" s="389">
        <f t="shared" si="2"/>
        <v>3714.0266666666666</v>
      </c>
      <c r="W13" s="389">
        <f t="shared" si="3"/>
        <v>3714.0266666666666</v>
      </c>
      <c r="X13" s="402"/>
    </row>
    <row r="14" spans="1:24" s="268" customFormat="1" ht="15" x14ac:dyDescent="0.2">
      <c r="A14" s="410"/>
      <c r="B14" s="410"/>
      <c r="C14" s="410"/>
      <c r="D14" s="410"/>
      <c r="E14" s="410"/>
      <c r="F14" s="410"/>
      <c r="G14" s="98" t="s">
        <v>31</v>
      </c>
      <c r="H14" s="327" t="s">
        <v>61</v>
      </c>
      <c r="I14" s="327" t="s">
        <v>62</v>
      </c>
      <c r="J14" s="327" t="s">
        <v>203</v>
      </c>
      <c r="K14" s="327" t="s">
        <v>720</v>
      </c>
      <c r="L14" s="410"/>
      <c r="M14" s="410"/>
      <c r="N14" s="407"/>
      <c r="O14" s="407"/>
      <c r="P14" s="407"/>
      <c r="Q14" s="410"/>
      <c r="R14" s="410"/>
      <c r="S14" s="410">
        <v>0</v>
      </c>
      <c r="T14" s="410">
        <v>0</v>
      </c>
      <c r="U14" s="410">
        <f t="shared" si="1"/>
        <v>0</v>
      </c>
      <c r="V14" s="409"/>
      <c r="W14" s="409"/>
      <c r="X14" s="410"/>
    </row>
    <row r="15" spans="1:24" s="268" customFormat="1" ht="15" x14ac:dyDescent="0.2">
      <c r="A15" s="403"/>
      <c r="B15" s="403"/>
      <c r="C15" s="403"/>
      <c r="D15" s="403"/>
      <c r="E15" s="403"/>
      <c r="F15" s="403"/>
      <c r="G15" s="98" t="s">
        <v>31</v>
      </c>
      <c r="H15" s="327" t="s">
        <v>203</v>
      </c>
      <c r="I15" s="327" t="s">
        <v>720</v>
      </c>
      <c r="J15" s="98" t="s">
        <v>32</v>
      </c>
      <c r="K15" s="98" t="s">
        <v>33</v>
      </c>
      <c r="L15" s="403"/>
      <c r="M15" s="403"/>
      <c r="N15" s="399"/>
      <c r="O15" s="399"/>
      <c r="P15" s="399"/>
      <c r="Q15" s="403"/>
      <c r="R15" s="403"/>
      <c r="S15" s="403">
        <v>0</v>
      </c>
      <c r="T15" s="403">
        <v>0</v>
      </c>
      <c r="U15" s="403">
        <f t="shared" si="1"/>
        <v>0</v>
      </c>
      <c r="V15" s="390"/>
      <c r="W15" s="390"/>
      <c r="X15" s="403"/>
    </row>
  </sheetData>
  <mergeCells count="6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T5:T6"/>
    <mergeCell ref="U5:U6"/>
    <mergeCell ref="V5:V6"/>
    <mergeCell ref="W5:W6"/>
    <mergeCell ref="X5:X6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L13:L15"/>
    <mergeCell ref="M13:M15"/>
    <mergeCell ref="N13:N15"/>
    <mergeCell ref="O13:O15"/>
    <mergeCell ref="P13:P15"/>
    <mergeCell ref="Q13:Q15"/>
    <mergeCell ref="R13:R15"/>
    <mergeCell ref="T13:T15"/>
    <mergeCell ref="U13:U15"/>
    <mergeCell ref="V13:V15"/>
    <mergeCell ref="W13:W15"/>
    <mergeCell ref="X13:X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43101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workbookViewId="0">
      <selection activeCell="E31" sqref="E31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330" t="s">
        <v>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  <c r="X1" s="330"/>
    </row>
    <row r="2" spans="1:24" ht="15" x14ac:dyDescent="0.25">
      <c r="A2" s="330" t="s">
        <v>5</v>
      </c>
      <c r="B2" s="330"/>
      <c r="C2" s="330" t="s">
        <v>6</v>
      </c>
      <c r="D2" s="330"/>
      <c r="E2" s="330"/>
      <c r="F2" s="330" t="s">
        <v>3</v>
      </c>
      <c r="G2" s="330"/>
      <c r="H2" s="330"/>
      <c r="I2" s="330"/>
      <c r="J2" s="330"/>
      <c r="K2" s="330"/>
      <c r="L2" s="330"/>
      <c r="M2" s="330"/>
      <c r="N2" s="330" t="s">
        <v>7</v>
      </c>
      <c r="O2" s="330"/>
      <c r="P2" s="330"/>
      <c r="Q2" s="330" t="s">
        <v>1</v>
      </c>
      <c r="R2" s="330"/>
      <c r="S2" s="330"/>
      <c r="T2" s="330"/>
      <c r="U2" s="330"/>
      <c r="V2" s="330"/>
      <c r="W2" s="330" t="s">
        <v>8</v>
      </c>
      <c r="X2" s="384" t="s">
        <v>9</v>
      </c>
    </row>
    <row r="3" spans="1:24" ht="15" x14ac:dyDescent="0.25">
      <c r="A3" s="331" t="s">
        <v>10</v>
      </c>
      <c r="B3" s="331" t="s">
        <v>11</v>
      </c>
      <c r="C3" s="331" t="s">
        <v>12</v>
      </c>
      <c r="D3" s="331" t="s">
        <v>13</v>
      </c>
      <c r="E3" s="331" t="s">
        <v>14</v>
      </c>
      <c r="F3" s="331" t="s">
        <v>15</v>
      </c>
      <c r="G3" s="331" t="s">
        <v>16</v>
      </c>
      <c r="H3" s="331" t="s">
        <v>17</v>
      </c>
      <c r="I3" s="331"/>
      <c r="J3" s="332" t="s">
        <v>18</v>
      </c>
      <c r="K3" s="332"/>
      <c r="L3" s="331" t="s">
        <v>19</v>
      </c>
      <c r="M3" s="331" t="s">
        <v>20</v>
      </c>
      <c r="N3" s="332" t="s">
        <v>21</v>
      </c>
      <c r="O3" s="332" t="s">
        <v>22</v>
      </c>
      <c r="P3" s="332" t="s">
        <v>23</v>
      </c>
      <c r="Q3" s="332" t="s">
        <v>24</v>
      </c>
      <c r="R3" s="332"/>
      <c r="S3" s="332" t="s">
        <v>25</v>
      </c>
      <c r="T3" s="332"/>
      <c r="U3" s="331" t="s">
        <v>26</v>
      </c>
      <c r="V3" s="332" t="s">
        <v>23</v>
      </c>
      <c r="W3" s="330"/>
      <c r="X3" s="384"/>
    </row>
    <row r="4" spans="1:24" ht="15" x14ac:dyDescent="0.25">
      <c r="A4" s="386"/>
      <c r="B4" s="386"/>
      <c r="C4" s="386"/>
      <c r="D4" s="386"/>
      <c r="E4" s="386"/>
      <c r="F4" s="386"/>
      <c r="G4" s="386"/>
      <c r="H4" s="10" t="s">
        <v>27</v>
      </c>
      <c r="I4" s="10" t="s">
        <v>28</v>
      </c>
      <c r="J4" s="10" t="s">
        <v>27</v>
      </c>
      <c r="K4" s="11" t="s">
        <v>29</v>
      </c>
      <c r="L4" s="386"/>
      <c r="M4" s="386"/>
      <c r="N4" s="387"/>
      <c r="O4" s="387"/>
      <c r="P4" s="387"/>
      <c r="Q4" s="10" t="s">
        <v>2</v>
      </c>
      <c r="R4" s="11" t="s">
        <v>30</v>
      </c>
      <c r="S4" s="10" t="s">
        <v>2</v>
      </c>
      <c r="T4" s="11" t="s">
        <v>30</v>
      </c>
      <c r="U4" s="386"/>
      <c r="V4" s="387"/>
      <c r="W4" s="388"/>
      <c r="X4" s="385"/>
    </row>
    <row r="5" spans="1:24" s="268" customFormat="1" ht="15" x14ac:dyDescent="0.2">
      <c r="A5" s="325" t="s">
        <v>372</v>
      </c>
      <c r="B5" s="325" t="s">
        <v>372</v>
      </c>
      <c r="C5" s="428" t="s">
        <v>134</v>
      </c>
      <c r="D5" s="320">
        <v>202</v>
      </c>
      <c r="E5" s="326" t="s">
        <v>704</v>
      </c>
      <c r="F5" s="325" t="s">
        <v>726</v>
      </c>
      <c r="G5" s="98" t="s">
        <v>31</v>
      </c>
      <c r="H5" s="98" t="s">
        <v>32</v>
      </c>
      <c r="I5" s="98" t="s">
        <v>33</v>
      </c>
      <c r="J5" s="326" t="s">
        <v>38</v>
      </c>
      <c r="K5" s="326" t="s">
        <v>39</v>
      </c>
      <c r="L5" s="266">
        <v>45145</v>
      </c>
      <c r="M5" s="266">
        <v>45146</v>
      </c>
      <c r="N5" s="323">
        <f>1736.83/2</f>
        <v>868.41499999999996</v>
      </c>
      <c r="O5" s="323">
        <f>1736.83/2</f>
        <v>868.41499999999996</v>
      </c>
      <c r="P5" s="323">
        <f t="shared" ref="P5:P18" si="0">SUM(N5:O5)</f>
        <v>1736.83</v>
      </c>
      <c r="Q5" s="322">
        <v>2</v>
      </c>
      <c r="R5" s="267">
        <v>120</v>
      </c>
      <c r="S5" s="322">
        <v>0</v>
      </c>
      <c r="T5" s="267">
        <v>0</v>
      </c>
      <c r="U5" s="321">
        <f t="shared" ref="U5:U16" si="1">Q5*R5+S5*T5</f>
        <v>240</v>
      </c>
      <c r="V5" s="321">
        <f t="shared" ref="V5:V16" si="2">P5+U5</f>
        <v>1976.83</v>
      </c>
      <c r="W5" s="321">
        <f t="shared" ref="W5:W16" si="3">V5</f>
        <v>1976.83</v>
      </c>
      <c r="X5" s="322"/>
    </row>
    <row r="6" spans="1:24" s="268" customFormat="1" ht="15" x14ac:dyDescent="0.2">
      <c r="A6" s="325" t="s">
        <v>372</v>
      </c>
      <c r="B6" s="325" t="s">
        <v>238</v>
      </c>
      <c r="C6" s="326" t="s">
        <v>447</v>
      </c>
      <c r="D6" s="320">
        <v>336</v>
      </c>
      <c r="E6" s="428" t="s">
        <v>735</v>
      </c>
      <c r="F6" s="325" t="s">
        <v>726</v>
      </c>
      <c r="G6" s="98" t="s">
        <v>31</v>
      </c>
      <c r="H6" s="98" t="s">
        <v>32</v>
      </c>
      <c r="I6" s="98" t="s">
        <v>33</v>
      </c>
      <c r="J6" s="326" t="s">
        <v>38</v>
      </c>
      <c r="K6" s="326" t="s">
        <v>39</v>
      </c>
      <c r="L6" s="266">
        <v>45145</v>
      </c>
      <c r="M6" s="266">
        <v>45146</v>
      </c>
      <c r="N6" s="323">
        <f t="shared" ref="N6:O7" si="4">1736.83/2</f>
        <v>868.41499999999996</v>
      </c>
      <c r="O6" s="323">
        <f t="shared" si="4"/>
        <v>868.41499999999996</v>
      </c>
      <c r="P6" s="323">
        <f t="shared" si="0"/>
        <v>1736.83</v>
      </c>
      <c r="Q6" s="322">
        <v>2</v>
      </c>
      <c r="R6" s="267">
        <v>120</v>
      </c>
      <c r="S6" s="322">
        <v>0</v>
      </c>
      <c r="T6" s="267">
        <v>0</v>
      </c>
      <c r="U6" s="321">
        <f t="shared" si="1"/>
        <v>240</v>
      </c>
      <c r="V6" s="321">
        <f t="shared" si="2"/>
        <v>1976.83</v>
      </c>
      <c r="W6" s="321">
        <f t="shared" si="3"/>
        <v>1976.83</v>
      </c>
      <c r="X6" s="322"/>
    </row>
    <row r="7" spans="1:24" s="268" customFormat="1" ht="15" x14ac:dyDescent="0.2">
      <c r="A7" s="325" t="s">
        <v>372</v>
      </c>
      <c r="B7" s="325" t="s">
        <v>238</v>
      </c>
      <c r="C7" s="326" t="s">
        <v>135</v>
      </c>
      <c r="D7" s="320">
        <v>230</v>
      </c>
      <c r="E7" s="318" t="s">
        <v>710</v>
      </c>
      <c r="F7" s="325" t="s">
        <v>726</v>
      </c>
      <c r="G7" s="98" t="s">
        <v>31</v>
      </c>
      <c r="H7" s="98" t="s">
        <v>32</v>
      </c>
      <c r="I7" s="98" t="s">
        <v>33</v>
      </c>
      <c r="J7" s="326" t="s">
        <v>38</v>
      </c>
      <c r="K7" s="326" t="s">
        <v>39</v>
      </c>
      <c r="L7" s="266">
        <v>45145</v>
      </c>
      <c r="M7" s="266">
        <v>45146</v>
      </c>
      <c r="N7" s="323">
        <f t="shared" si="4"/>
        <v>868.41499999999996</v>
      </c>
      <c r="O7" s="323">
        <f t="shared" si="4"/>
        <v>868.41499999999996</v>
      </c>
      <c r="P7" s="323">
        <f t="shared" si="0"/>
        <v>1736.83</v>
      </c>
      <c r="Q7" s="322">
        <v>2</v>
      </c>
      <c r="R7" s="267">
        <v>120</v>
      </c>
      <c r="S7" s="322">
        <v>0</v>
      </c>
      <c r="T7" s="267">
        <v>0</v>
      </c>
      <c r="U7" s="321">
        <f t="shared" si="1"/>
        <v>240</v>
      </c>
      <c r="V7" s="321">
        <f t="shared" si="2"/>
        <v>1976.83</v>
      </c>
      <c r="W7" s="321">
        <f t="shared" si="3"/>
        <v>1976.83</v>
      </c>
      <c r="X7" s="322"/>
    </row>
    <row r="8" spans="1:24" s="268" customFormat="1" ht="15" x14ac:dyDescent="0.2">
      <c r="A8" s="325" t="s">
        <v>250</v>
      </c>
      <c r="B8" s="325" t="s">
        <v>250</v>
      </c>
      <c r="C8" s="326" t="s">
        <v>378</v>
      </c>
      <c r="D8" s="320">
        <v>0</v>
      </c>
      <c r="E8" s="289" t="s">
        <v>55</v>
      </c>
      <c r="F8" s="325" t="s">
        <v>727</v>
      </c>
      <c r="G8" s="98" t="s">
        <v>31</v>
      </c>
      <c r="H8" s="98" t="s">
        <v>32</v>
      </c>
      <c r="I8" s="98" t="s">
        <v>33</v>
      </c>
      <c r="J8" s="326" t="s">
        <v>38</v>
      </c>
      <c r="K8" s="326" t="s">
        <v>39</v>
      </c>
      <c r="L8" s="266">
        <v>45146</v>
      </c>
      <c r="M8" s="266">
        <v>45147</v>
      </c>
      <c r="N8" s="323">
        <f>1736.83/2</f>
        <v>868.41499999999996</v>
      </c>
      <c r="O8" s="323">
        <f>1736.83/2</f>
        <v>868.41499999999996</v>
      </c>
      <c r="P8" s="323">
        <f t="shared" si="0"/>
        <v>1736.83</v>
      </c>
      <c r="Q8" s="322">
        <v>0</v>
      </c>
      <c r="R8" s="267">
        <v>120</v>
      </c>
      <c r="S8" s="322">
        <v>0</v>
      </c>
      <c r="T8" s="267">
        <v>0</v>
      </c>
      <c r="U8" s="321">
        <f t="shared" si="1"/>
        <v>0</v>
      </c>
      <c r="V8" s="321">
        <f t="shared" si="2"/>
        <v>1736.83</v>
      </c>
      <c r="W8" s="321">
        <f t="shared" si="3"/>
        <v>1736.83</v>
      </c>
      <c r="X8" s="322"/>
    </row>
    <row r="9" spans="1:24" s="268" customFormat="1" ht="15" x14ac:dyDescent="0.2">
      <c r="A9" s="325" t="s">
        <v>250</v>
      </c>
      <c r="B9" s="325" t="s">
        <v>250</v>
      </c>
      <c r="C9" s="326" t="s">
        <v>670</v>
      </c>
      <c r="D9" s="320">
        <v>383</v>
      </c>
      <c r="E9" s="326" t="s">
        <v>703</v>
      </c>
      <c r="F9" s="325" t="s">
        <v>727</v>
      </c>
      <c r="G9" s="98" t="s">
        <v>31</v>
      </c>
      <c r="H9" s="98" t="s">
        <v>32</v>
      </c>
      <c r="I9" s="98" t="s">
        <v>33</v>
      </c>
      <c r="J9" s="326" t="s">
        <v>38</v>
      </c>
      <c r="K9" s="326" t="s">
        <v>39</v>
      </c>
      <c r="L9" s="266">
        <v>45146</v>
      </c>
      <c r="M9" s="266">
        <v>45147</v>
      </c>
      <c r="N9" s="323">
        <f>4101.45/2</f>
        <v>2050.7249999999999</v>
      </c>
      <c r="O9" s="323">
        <f>4101.45/2</f>
        <v>2050.7249999999999</v>
      </c>
      <c r="P9" s="323">
        <f t="shared" si="0"/>
        <v>4101.45</v>
      </c>
      <c r="Q9" s="322">
        <v>2</v>
      </c>
      <c r="R9" s="267">
        <v>120</v>
      </c>
      <c r="S9" s="322">
        <v>0</v>
      </c>
      <c r="T9" s="267">
        <v>0</v>
      </c>
      <c r="U9" s="321">
        <f t="shared" si="1"/>
        <v>240</v>
      </c>
      <c r="V9" s="321">
        <f t="shared" si="2"/>
        <v>4341.45</v>
      </c>
      <c r="W9" s="321">
        <f t="shared" si="3"/>
        <v>4341.45</v>
      </c>
      <c r="X9" s="322"/>
    </row>
    <row r="10" spans="1:24" s="268" customFormat="1" ht="15" x14ac:dyDescent="0.2">
      <c r="A10" s="327" t="s">
        <v>229</v>
      </c>
      <c r="B10" s="325" t="s">
        <v>227</v>
      </c>
      <c r="C10" s="326" t="s">
        <v>728</v>
      </c>
      <c r="D10" s="320">
        <v>387</v>
      </c>
      <c r="E10" s="428" t="s">
        <v>262</v>
      </c>
      <c r="F10" s="325" t="s">
        <v>730</v>
      </c>
      <c r="G10" s="98" t="s">
        <v>31</v>
      </c>
      <c r="H10" s="98" t="s">
        <v>32</v>
      </c>
      <c r="I10" s="98" t="s">
        <v>33</v>
      </c>
      <c r="J10" s="428" t="s">
        <v>121</v>
      </c>
      <c r="K10" s="428" t="s">
        <v>62</v>
      </c>
      <c r="L10" s="266">
        <v>45139</v>
      </c>
      <c r="M10" s="266">
        <v>45140</v>
      </c>
      <c r="N10" s="323">
        <f>2261.71/2</f>
        <v>1130.855</v>
      </c>
      <c r="O10" s="323">
        <f>2261.71/2</f>
        <v>1130.855</v>
      </c>
      <c r="P10" s="323">
        <f t="shared" si="0"/>
        <v>2261.71</v>
      </c>
      <c r="Q10" s="322">
        <v>2</v>
      </c>
      <c r="R10" s="267">
        <v>120</v>
      </c>
      <c r="S10" s="322">
        <v>0</v>
      </c>
      <c r="T10" s="267">
        <v>0</v>
      </c>
      <c r="U10" s="321">
        <f t="shared" si="1"/>
        <v>240</v>
      </c>
      <c r="V10" s="321">
        <f t="shared" ref="V10:V15" si="5">P10+U10</f>
        <v>2501.71</v>
      </c>
      <c r="W10" s="321">
        <f t="shared" ref="W10:W15" si="6">V10</f>
        <v>2501.71</v>
      </c>
      <c r="X10" s="322"/>
    </row>
    <row r="11" spans="1:24" s="268" customFormat="1" ht="15" x14ac:dyDescent="0.2">
      <c r="A11" s="327" t="s">
        <v>229</v>
      </c>
      <c r="B11" s="325" t="s">
        <v>227</v>
      </c>
      <c r="C11" s="326" t="s">
        <v>729</v>
      </c>
      <c r="D11" s="320">
        <v>390</v>
      </c>
      <c r="E11" s="428" t="s">
        <v>130</v>
      </c>
      <c r="F11" s="325" t="s">
        <v>730</v>
      </c>
      <c r="G11" s="98" t="s">
        <v>31</v>
      </c>
      <c r="H11" s="98" t="s">
        <v>32</v>
      </c>
      <c r="I11" s="98" t="s">
        <v>33</v>
      </c>
      <c r="J11" s="428" t="s">
        <v>121</v>
      </c>
      <c r="K11" s="428" t="s">
        <v>62</v>
      </c>
      <c r="L11" s="266">
        <v>45139</v>
      </c>
      <c r="M11" s="266">
        <v>45140</v>
      </c>
      <c r="N11" s="323">
        <f>3504.47/2</f>
        <v>1752.2349999999999</v>
      </c>
      <c r="O11" s="323">
        <f>3504.47/2</f>
        <v>1752.2349999999999</v>
      </c>
      <c r="P11" s="323">
        <f t="shared" si="0"/>
        <v>3504.47</v>
      </c>
      <c r="Q11" s="322">
        <v>2</v>
      </c>
      <c r="R11" s="267">
        <v>120</v>
      </c>
      <c r="S11" s="322">
        <v>0</v>
      </c>
      <c r="T11" s="267">
        <v>0</v>
      </c>
      <c r="U11" s="321">
        <f t="shared" si="1"/>
        <v>240</v>
      </c>
      <c r="V11" s="321">
        <f t="shared" si="5"/>
        <v>3744.47</v>
      </c>
      <c r="W11" s="321">
        <f t="shared" si="6"/>
        <v>3744.47</v>
      </c>
      <c r="X11" s="322"/>
    </row>
    <row r="12" spans="1:24" s="268" customFormat="1" ht="15" x14ac:dyDescent="0.2">
      <c r="A12" s="325" t="s">
        <v>372</v>
      </c>
      <c r="B12" s="325" t="s">
        <v>372</v>
      </c>
      <c r="C12" s="326" t="s">
        <v>75</v>
      </c>
      <c r="D12" s="320">
        <v>0</v>
      </c>
      <c r="E12" s="327" t="s">
        <v>88</v>
      </c>
      <c r="F12" s="325" t="s">
        <v>727</v>
      </c>
      <c r="G12" s="98" t="s">
        <v>31</v>
      </c>
      <c r="H12" s="428" t="s">
        <v>111</v>
      </c>
      <c r="I12" s="428" t="s">
        <v>112</v>
      </c>
      <c r="J12" s="326" t="s">
        <v>38</v>
      </c>
      <c r="K12" s="326" t="s">
        <v>39</v>
      </c>
      <c r="L12" s="266">
        <v>45146</v>
      </c>
      <c r="M12" s="266">
        <v>45148</v>
      </c>
      <c r="N12" s="323">
        <f>2023.5/2</f>
        <v>1011.75</v>
      </c>
      <c r="O12" s="323">
        <f>2023.5/2</f>
        <v>1011.75</v>
      </c>
      <c r="P12" s="323">
        <f t="shared" si="0"/>
        <v>2023.5</v>
      </c>
      <c r="Q12" s="322">
        <v>0</v>
      </c>
      <c r="R12" s="267">
        <v>120</v>
      </c>
      <c r="S12" s="322">
        <v>0</v>
      </c>
      <c r="T12" s="267">
        <v>0</v>
      </c>
      <c r="U12" s="321">
        <f t="shared" si="1"/>
        <v>0</v>
      </c>
      <c r="V12" s="321">
        <f t="shared" si="5"/>
        <v>2023.5</v>
      </c>
      <c r="W12" s="321">
        <f t="shared" si="6"/>
        <v>2023.5</v>
      </c>
      <c r="X12" s="322"/>
    </row>
    <row r="13" spans="1:24" s="268" customFormat="1" ht="15" x14ac:dyDescent="0.2">
      <c r="A13" s="325" t="s">
        <v>250</v>
      </c>
      <c r="B13" s="325" t="s">
        <v>250</v>
      </c>
      <c r="C13" s="326" t="s">
        <v>378</v>
      </c>
      <c r="D13" s="320">
        <v>0</v>
      </c>
      <c r="E13" s="289" t="s">
        <v>55</v>
      </c>
      <c r="F13" s="325" t="s">
        <v>732</v>
      </c>
      <c r="G13" s="98" t="s">
        <v>31</v>
      </c>
      <c r="H13" s="98" t="s">
        <v>32</v>
      </c>
      <c r="I13" s="98" t="s">
        <v>33</v>
      </c>
      <c r="J13" s="428" t="s">
        <v>32</v>
      </c>
      <c r="K13" s="326" t="s">
        <v>731</v>
      </c>
      <c r="L13" s="266">
        <v>45155</v>
      </c>
      <c r="M13" s="266">
        <v>45156</v>
      </c>
      <c r="N13" s="323">
        <f>2404.66/2</f>
        <v>1202.33</v>
      </c>
      <c r="O13" s="323">
        <f>2404.66/2</f>
        <v>1202.33</v>
      </c>
      <c r="P13" s="323">
        <f t="shared" si="0"/>
        <v>2404.66</v>
      </c>
      <c r="Q13" s="322">
        <v>0</v>
      </c>
      <c r="R13" s="267">
        <v>120</v>
      </c>
      <c r="S13" s="322">
        <v>0</v>
      </c>
      <c r="T13" s="267">
        <v>0</v>
      </c>
      <c r="U13" s="321">
        <f t="shared" si="1"/>
        <v>0</v>
      </c>
      <c r="V13" s="321">
        <f t="shared" si="5"/>
        <v>2404.66</v>
      </c>
      <c r="W13" s="321">
        <f t="shared" si="6"/>
        <v>2404.66</v>
      </c>
      <c r="X13" s="322"/>
    </row>
    <row r="14" spans="1:24" s="268" customFormat="1" ht="15" x14ac:dyDescent="0.2">
      <c r="A14" s="325" t="s">
        <v>250</v>
      </c>
      <c r="B14" s="428" t="s">
        <v>250</v>
      </c>
      <c r="C14" s="326" t="s">
        <v>670</v>
      </c>
      <c r="D14" s="320">
        <v>383</v>
      </c>
      <c r="E14" s="326" t="s">
        <v>703</v>
      </c>
      <c r="F14" s="325" t="s">
        <v>732</v>
      </c>
      <c r="G14" s="98" t="s">
        <v>31</v>
      </c>
      <c r="H14" s="98" t="s">
        <v>32</v>
      </c>
      <c r="I14" s="98" t="s">
        <v>33</v>
      </c>
      <c r="J14" s="428" t="s">
        <v>32</v>
      </c>
      <c r="K14" s="326" t="s">
        <v>731</v>
      </c>
      <c r="L14" s="266">
        <v>45155</v>
      </c>
      <c r="M14" s="266">
        <v>45156</v>
      </c>
      <c r="N14" s="323">
        <f>2404.66/2</f>
        <v>1202.33</v>
      </c>
      <c r="O14" s="323">
        <f>2404.66/2</f>
        <v>1202.33</v>
      </c>
      <c r="P14" s="323">
        <f t="shared" si="0"/>
        <v>2404.66</v>
      </c>
      <c r="Q14" s="322">
        <v>2</v>
      </c>
      <c r="R14" s="267">
        <v>120</v>
      </c>
      <c r="S14" s="322">
        <v>0</v>
      </c>
      <c r="T14" s="267">
        <v>0</v>
      </c>
      <c r="U14" s="321">
        <f t="shared" si="1"/>
        <v>240</v>
      </c>
      <c r="V14" s="321">
        <f>P14+U14</f>
        <v>2644.66</v>
      </c>
      <c r="W14" s="321">
        <f t="shared" si="6"/>
        <v>2644.66</v>
      </c>
      <c r="X14" s="322"/>
    </row>
    <row r="15" spans="1:24" s="268" customFormat="1" ht="15" x14ac:dyDescent="0.2">
      <c r="A15" s="325" t="s">
        <v>250</v>
      </c>
      <c r="B15" s="428" t="s">
        <v>212</v>
      </c>
      <c r="C15" s="326" t="s">
        <v>612</v>
      </c>
      <c r="D15" s="320">
        <v>365</v>
      </c>
      <c r="E15" s="285" t="s">
        <v>52</v>
      </c>
      <c r="F15" s="325" t="s">
        <v>733</v>
      </c>
      <c r="G15" s="98" t="s">
        <v>31</v>
      </c>
      <c r="H15" s="98" t="s">
        <v>32</v>
      </c>
      <c r="I15" s="98" t="s">
        <v>33</v>
      </c>
      <c r="J15" s="428" t="s">
        <v>32</v>
      </c>
      <c r="K15" s="326" t="s">
        <v>390</v>
      </c>
      <c r="L15" s="266">
        <v>45152</v>
      </c>
      <c r="M15" s="266">
        <v>45152</v>
      </c>
      <c r="N15" s="323">
        <f>1248.3/2</f>
        <v>624.15</v>
      </c>
      <c r="O15" s="323">
        <f>1248.3/2</f>
        <v>624.15</v>
      </c>
      <c r="P15" s="323">
        <f t="shared" si="0"/>
        <v>1248.3</v>
      </c>
      <c r="Q15" s="322">
        <v>1</v>
      </c>
      <c r="R15" s="267">
        <v>120</v>
      </c>
      <c r="S15" s="322">
        <v>0</v>
      </c>
      <c r="T15" s="267">
        <v>0</v>
      </c>
      <c r="U15" s="321">
        <f t="shared" si="1"/>
        <v>120</v>
      </c>
      <c r="V15" s="321">
        <f t="shared" si="5"/>
        <v>1368.3</v>
      </c>
      <c r="W15" s="321">
        <f t="shared" si="6"/>
        <v>1368.3</v>
      </c>
      <c r="X15" s="322"/>
    </row>
    <row r="16" spans="1:24" s="268" customFormat="1" ht="15" x14ac:dyDescent="0.2">
      <c r="A16" s="325" t="s">
        <v>250</v>
      </c>
      <c r="B16" s="428" t="s">
        <v>212</v>
      </c>
      <c r="C16" s="326" t="s">
        <v>270</v>
      </c>
      <c r="D16" s="320" t="s">
        <v>173</v>
      </c>
      <c r="E16" s="252" t="s">
        <v>599</v>
      </c>
      <c r="F16" s="325" t="s">
        <v>733</v>
      </c>
      <c r="G16" s="98" t="s">
        <v>31</v>
      </c>
      <c r="H16" s="98" t="s">
        <v>32</v>
      </c>
      <c r="I16" s="98" t="s">
        <v>33</v>
      </c>
      <c r="J16" s="428" t="s">
        <v>32</v>
      </c>
      <c r="K16" s="326" t="s">
        <v>390</v>
      </c>
      <c r="L16" s="266">
        <v>45152</v>
      </c>
      <c r="M16" s="266">
        <v>45152</v>
      </c>
      <c r="N16" s="323">
        <f>1248.3/2</f>
        <v>624.15</v>
      </c>
      <c r="O16" s="323">
        <f>1248.3/2</f>
        <v>624.15</v>
      </c>
      <c r="P16" s="323">
        <f t="shared" si="0"/>
        <v>1248.3</v>
      </c>
      <c r="Q16" s="322">
        <v>1</v>
      </c>
      <c r="R16" s="267">
        <v>120</v>
      </c>
      <c r="S16" s="322">
        <v>0</v>
      </c>
      <c r="T16" s="267">
        <v>0</v>
      </c>
      <c r="U16" s="321">
        <f t="shared" si="1"/>
        <v>120</v>
      </c>
      <c r="V16" s="321">
        <f t="shared" si="2"/>
        <v>1368.3</v>
      </c>
      <c r="W16" s="321">
        <f t="shared" si="3"/>
        <v>1368.3</v>
      </c>
      <c r="X16" s="322"/>
    </row>
    <row r="17" spans="1:24" s="268" customFormat="1" ht="15" x14ac:dyDescent="0.2">
      <c r="A17" s="325" t="s">
        <v>229</v>
      </c>
      <c r="B17" s="428" t="s">
        <v>215</v>
      </c>
      <c r="C17" s="326" t="s">
        <v>48</v>
      </c>
      <c r="D17" s="320">
        <v>56</v>
      </c>
      <c r="E17" s="324" t="s">
        <v>615</v>
      </c>
      <c r="F17" s="325" t="s">
        <v>734</v>
      </c>
      <c r="G17" s="98" t="s">
        <v>31</v>
      </c>
      <c r="H17" s="98" t="s">
        <v>32</v>
      </c>
      <c r="I17" s="98" t="s">
        <v>33</v>
      </c>
      <c r="J17" s="428" t="s">
        <v>38</v>
      </c>
      <c r="K17" s="326" t="s">
        <v>39</v>
      </c>
      <c r="L17" s="266">
        <v>45161</v>
      </c>
      <c r="M17" s="266">
        <v>45162</v>
      </c>
      <c r="N17" s="323">
        <f>3442.83/2</f>
        <v>1721.415</v>
      </c>
      <c r="O17" s="323">
        <f>3442.83/2</f>
        <v>1721.415</v>
      </c>
      <c r="P17" s="323">
        <f t="shared" si="0"/>
        <v>3442.83</v>
      </c>
      <c r="Q17" s="322">
        <v>0</v>
      </c>
      <c r="R17" s="267">
        <v>120</v>
      </c>
      <c r="S17" s="322">
        <v>0</v>
      </c>
      <c r="T17" s="267">
        <v>0</v>
      </c>
      <c r="U17" s="321">
        <f t="shared" ref="U17:U18" si="7">Q17*R17+S17*T17</f>
        <v>0</v>
      </c>
      <c r="V17" s="321">
        <f t="shared" ref="V17:V18" si="8">P17+U17</f>
        <v>3442.83</v>
      </c>
      <c r="W17" s="321">
        <f t="shared" ref="W17:W18" si="9">V17</f>
        <v>3442.83</v>
      </c>
      <c r="X17" s="322"/>
    </row>
    <row r="18" spans="1:24" s="268" customFormat="1" ht="15" x14ac:dyDescent="0.2">
      <c r="A18" s="325" t="s">
        <v>250</v>
      </c>
      <c r="B18" s="428" t="s">
        <v>250</v>
      </c>
      <c r="C18" s="326" t="s">
        <v>378</v>
      </c>
      <c r="D18" s="320">
        <v>0</v>
      </c>
      <c r="E18" s="289" t="s">
        <v>55</v>
      </c>
      <c r="F18" s="325" t="s">
        <v>734</v>
      </c>
      <c r="G18" s="98" t="s">
        <v>31</v>
      </c>
      <c r="H18" s="98" t="s">
        <v>32</v>
      </c>
      <c r="I18" s="98" t="s">
        <v>33</v>
      </c>
      <c r="J18" s="428" t="s">
        <v>38</v>
      </c>
      <c r="K18" s="326" t="s">
        <v>39</v>
      </c>
      <c r="L18" s="266">
        <v>45161</v>
      </c>
      <c r="M18" s="266">
        <v>45162</v>
      </c>
      <c r="N18" s="323">
        <f>3442.83/2</f>
        <v>1721.415</v>
      </c>
      <c r="O18" s="323">
        <f>3442.83/2</f>
        <v>1721.415</v>
      </c>
      <c r="P18" s="323">
        <f t="shared" si="0"/>
        <v>3442.83</v>
      </c>
      <c r="Q18" s="322">
        <v>0</v>
      </c>
      <c r="R18" s="267">
        <v>120</v>
      </c>
      <c r="S18" s="322">
        <v>0</v>
      </c>
      <c r="T18" s="267">
        <v>0</v>
      </c>
      <c r="U18" s="321">
        <f t="shared" si="7"/>
        <v>0</v>
      </c>
      <c r="V18" s="321">
        <f t="shared" si="8"/>
        <v>3442.83</v>
      </c>
      <c r="W18" s="321">
        <f t="shared" si="9"/>
        <v>3442.83</v>
      </c>
      <c r="X18" s="322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43160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29" t="s">
        <v>0</v>
      </c>
      <c r="W5" s="329"/>
      <c r="X5" s="8">
        <v>43191</v>
      </c>
    </row>
    <row r="6" spans="1:24" x14ac:dyDescent="0.25">
      <c r="A6" s="330" t="s">
        <v>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</row>
    <row r="7" spans="1:24" x14ac:dyDescent="0.25">
      <c r="A7" s="330" t="s">
        <v>5</v>
      </c>
      <c r="B7" s="330"/>
      <c r="C7" s="330" t="s">
        <v>6</v>
      </c>
      <c r="D7" s="330"/>
      <c r="E7" s="330"/>
      <c r="F7" s="330" t="s">
        <v>3</v>
      </c>
      <c r="G7" s="330"/>
      <c r="H7" s="330"/>
      <c r="I7" s="330"/>
      <c r="J7" s="330"/>
      <c r="K7" s="330"/>
      <c r="L7" s="330"/>
      <c r="M7" s="330"/>
      <c r="N7" s="330" t="s">
        <v>7</v>
      </c>
      <c r="O7" s="330"/>
      <c r="P7" s="330"/>
      <c r="Q7" s="330" t="s">
        <v>1</v>
      </c>
      <c r="R7" s="330"/>
      <c r="S7" s="330"/>
      <c r="T7" s="330"/>
      <c r="U7" s="330"/>
      <c r="V7" s="330"/>
      <c r="W7" s="330" t="s">
        <v>8</v>
      </c>
      <c r="X7" s="330" t="s">
        <v>9</v>
      </c>
    </row>
    <row r="8" spans="1:24" s="9" customFormat="1" x14ac:dyDescent="0.25">
      <c r="A8" s="331" t="s">
        <v>10</v>
      </c>
      <c r="B8" s="331" t="s">
        <v>11</v>
      </c>
      <c r="C8" s="331" t="s">
        <v>12</v>
      </c>
      <c r="D8" s="331" t="s">
        <v>13</v>
      </c>
      <c r="E8" s="331" t="s">
        <v>14</v>
      </c>
      <c r="F8" s="331" t="s">
        <v>15</v>
      </c>
      <c r="G8" s="331" t="s">
        <v>16</v>
      </c>
      <c r="H8" s="331" t="s">
        <v>17</v>
      </c>
      <c r="I8" s="331"/>
      <c r="J8" s="332" t="s">
        <v>18</v>
      </c>
      <c r="K8" s="332"/>
      <c r="L8" s="331" t="s">
        <v>19</v>
      </c>
      <c r="M8" s="331" t="s">
        <v>20</v>
      </c>
      <c r="N8" s="332" t="s">
        <v>21</v>
      </c>
      <c r="O8" s="332" t="s">
        <v>22</v>
      </c>
      <c r="P8" s="332" t="s">
        <v>23</v>
      </c>
      <c r="Q8" s="332" t="s">
        <v>24</v>
      </c>
      <c r="R8" s="332"/>
      <c r="S8" s="332" t="s">
        <v>25</v>
      </c>
      <c r="T8" s="332"/>
      <c r="U8" s="331" t="s">
        <v>26</v>
      </c>
      <c r="V8" s="332" t="s">
        <v>23</v>
      </c>
      <c r="W8" s="330"/>
      <c r="X8" s="330"/>
    </row>
    <row r="9" spans="1:24" s="9" customFormat="1" ht="17.25" customHeight="1" x14ac:dyDescent="0.25">
      <c r="A9" s="331"/>
      <c r="B9" s="331"/>
      <c r="C9" s="331"/>
      <c r="D9" s="331"/>
      <c r="E9" s="331"/>
      <c r="F9" s="331"/>
      <c r="G9" s="331"/>
      <c r="H9" s="10" t="s">
        <v>27</v>
      </c>
      <c r="I9" s="10" t="s">
        <v>28</v>
      </c>
      <c r="J9" s="10" t="s">
        <v>27</v>
      </c>
      <c r="K9" s="11" t="s">
        <v>29</v>
      </c>
      <c r="L9" s="331"/>
      <c r="M9" s="331"/>
      <c r="N9" s="332"/>
      <c r="O9" s="332"/>
      <c r="P9" s="332"/>
      <c r="Q9" s="10" t="s">
        <v>2</v>
      </c>
      <c r="R9" s="11" t="s">
        <v>30</v>
      </c>
      <c r="S9" s="10" t="s">
        <v>2</v>
      </c>
      <c r="T9" s="11" t="s">
        <v>30</v>
      </c>
      <c r="U9" s="331"/>
      <c r="V9" s="332"/>
      <c r="W9" s="330"/>
      <c r="X9" s="330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72</vt:i4>
      </vt:variant>
    </vt:vector>
  </HeadingPairs>
  <TitlesOfParts>
    <vt:vector size="72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2023-09-05T17:47:14Z</dcterms:modified>
</cp:coreProperties>
</file>