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1410" windowWidth="19440" windowHeight="10860" firstSheet="64" activeTab="68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Plan2" sheetId="68" r:id="rId70"/>
    <sheet name="Plan3" sheetId="80" r:id="rId71"/>
  </sheets>
  <calcPr calcId="145621"/>
</workbook>
</file>

<file path=xl/calcChain.xml><?xml version="1.0" encoding="utf-8"?>
<calcChain xmlns="http://schemas.openxmlformats.org/spreadsheetml/2006/main">
  <c r="U11" i="83" l="1"/>
  <c r="V11" i="83" s="1"/>
  <c r="W11" i="83" s="1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P10" i="83" l="1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V12" i="82" s="1"/>
  <c r="W12" i="82" s="1"/>
  <c r="U13" i="82"/>
  <c r="V13" i="82" s="1"/>
  <c r="W13" i="82" s="1"/>
  <c r="U14" i="82"/>
  <c r="V14" i="82" s="1"/>
  <c r="W14" i="82" s="1"/>
  <c r="U15" i="82"/>
  <c r="V15" i="82" s="1"/>
  <c r="W15" i="82" s="1"/>
  <c r="P14" i="82"/>
  <c r="O15" i="82"/>
  <c r="P15" i="82" s="1"/>
  <c r="N15" i="82"/>
  <c r="O14" i="82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2" i="82" l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V17" i="81"/>
  <c r="W17" i="81" s="1"/>
  <c r="O11" i="81"/>
  <c r="O14" i="81"/>
  <c r="O17" i="81"/>
  <c r="P17" i="81" s="1"/>
  <c r="N17" i="81"/>
  <c r="N11" i="81"/>
  <c r="P11" i="81" s="1"/>
  <c r="V11" i="81" s="1"/>
  <c r="W11" i="81" s="1"/>
  <c r="N14" i="81"/>
  <c r="P14" i="81"/>
  <c r="V14" i="81" s="1"/>
  <c r="W14" i="81" s="1"/>
  <c r="O10" i="81"/>
  <c r="N10" i="81"/>
  <c r="O9" i="81"/>
  <c r="N9" i="81"/>
  <c r="O8" i="81"/>
  <c r="N8" i="81"/>
  <c r="O7" i="81"/>
  <c r="N7" i="81"/>
  <c r="O6" i="81"/>
  <c r="N6" i="81"/>
  <c r="O5" i="81"/>
  <c r="N5" i="81"/>
  <c r="U10" i="81"/>
  <c r="U9" i="81"/>
  <c r="P9" i="81"/>
  <c r="U8" i="81"/>
  <c r="U6" i="81"/>
  <c r="U5" i="81"/>
  <c r="P5" i="81"/>
  <c r="P10" i="81" l="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V9" i="79"/>
  <c r="W9" i="79"/>
  <c r="P6" i="79"/>
  <c r="P7" i="79"/>
  <c r="P8" i="79"/>
  <c r="P9" i="79"/>
  <c r="P10" i="79"/>
  <c r="O9" i="79"/>
  <c r="O10" i="79"/>
  <c r="N10" i="79"/>
  <c r="N9" i="79"/>
  <c r="O8" i="79"/>
  <c r="N8" i="79"/>
  <c r="O7" i="79"/>
  <c r="N7" i="79"/>
  <c r="O6" i="79"/>
  <c r="N6" i="79"/>
  <c r="O5" i="79"/>
  <c r="N5" i="79"/>
  <c r="U10" i="79"/>
  <c r="V10" i="79" s="1"/>
  <c r="W10" i="79" s="1"/>
  <c r="U8" i="79"/>
  <c r="U7" i="79"/>
  <c r="U6" i="79"/>
  <c r="U5" i="79"/>
  <c r="P5" i="79"/>
  <c r="V6" i="79" l="1"/>
  <c r="W6" i="79" s="1"/>
  <c r="V5" i="79"/>
  <c r="W5" i="79" s="1"/>
  <c r="V7" i="79"/>
  <c r="W7" i="79" s="1"/>
  <c r="V8" i="79"/>
  <c r="W8" i="79" s="1"/>
  <c r="V10" i="78"/>
  <c r="W10" i="78"/>
  <c r="W9" i="78"/>
  <c r="V9" i="78"/>
  <c r="U8" i="78"/>
  <c r="V8" i="78" s="1"/>
  <c r="W8" i="78" s="1"/>
  <c r="U9" i="78"/>
  <c r="U10" i="78"/>
  <c r="O10" i="78"/>
  <c r="N10" i="78"/>
  <c r="O9" i="78"/>
  <c r="N9" i="78"/>
  <c r="P9" i="78" s="1"/>
  <c r="P8" i="78"/>
  <c r="P10" i="78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6" i="78" l="1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P10" i="75" s="1"/>
  <c r="O9" i="75"/>
  <c r="N9" i="75"/>
  <c r="P9" i="75" s="1"/>
  <c r="O8" i="75"/>
  <c r="N8" i="75"/>
  <c r="P8" i="75" s="1"/>
  <c r="O6" i="75"/>
  <c r="N6" i="75"/>
  <c r="P6" i="75" s="1"/>
  <c r="P7" i="75"/>
  <c r="U5" i="75"/>
  <c r="P5" i="75"/>
  <c r="V11" i="75" l="1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O7" i="74"/>
  <c r="P7" i="74" s="1"/>
  <c r="N7" i="74"/>
  <c r="N6" i="74"/>
  <c r="P6" i="74"/>
  <c r="O5" i="74"/>
  <c r="N5" i="74"/>
  <c r="U7" i="74"/>
  <c r="U6" i="74"/>
  <c r="U5" i="74"/>
  <c r="P5" i="74" l="1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V11" i="72" s="1"/>
  <c r="W11" i="72" s="1"/>
  <c r="U12" i="72"/>
  <c r="V12" i="72" s="1"/>
  <c r="W12" i="72" s="1"/>
  <c r="U5" i="72"/>
  <c r="V5" i="72" s="1"/>
  <c r="W5" i="72" s="1"/>
  <c r="P12" i="72"/>
  <c r="P6" i="72"/>
  <c r="V6" i="72" s="1"/>
  <c r="W6" i="72" s="1"/>
  <c r="P7" i="72"/>
  <c r="P8" i="72"/>
  <c r="P9" i="72"/>
  <c r="P10" i="72"/>
  <c r="P11" i="72"/>
  <c r="P5" i="72"/>
  <c r="O12" i="72"/>
  <c r="N12" i="72"/>
  <c r="O11" i="72"/>
  <c r="N11" i="72"/>
  <c r="O10" i="72"/>
  <c r="N10" i="72"/>
  <c r="O9" i="72"/>
  <c r="N9" i="72"/>
  <c r="O8" i="72"/>
  <c r="N8" i="72"/>
  <c r="O7" i="72"/>
  <c r="N7" i="72"/>
  <c r="O6" i="72"/>
  <c r="N6" i="72"/>
  <c r="O5" i="72"/>
  <c r="N5" i="72"/>
  <c r="V9" i="72" l="1"/>
  <c r="W9" i="72" s="1"/>
  <c r="V8" i="72"/>
  <c r="W8" i="72" s="1"/>
  <c r="V7" i="72"/>
  <c r="W7" i="72" s="1"/>
  <c r="V10" i="72"/>
  <c r="W10" i="72" s="1"/>
  <c r="V5" i="71"/>
  <c r="W5" i="71"/>
  <c r="U5" i="7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<sst xmlns="http://schemas.openxmlformats.org/spreadsheetml/2006/main" count="8061" uniqueCount="726">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</sst>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4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2" fillId="2" borderId="0" applyNumberFormat="0" applyFont="0" applyBorder="0" applyProtection="0"/>
    <xf numFmtId="0" fontId="33" fillId="0" borderId="0" applyNumberFormat="0" applyBorder="0" applyProtection="0">
      <alignment horizontal="center"/>
    </xf>
    <xf numFmtId="0" fontId="33" fillId="0" borderId="0" applyNumberFormat="0" applyBorder="0" applyProtection="0">
      <alignment horizontal="center" textRotation="90"/>
    </xf>
    <xf numFmtId="0" fontId="34" fillId="0" borderId="0" applyNumberFormat="0" applyBorder="0" applyProtection="0"/>
    <xf numFmtId="166" fontId="34" fillId="0" borderId="0" applyBorder="0" applyProtection="0"/>
    <xf numFmtId="0" fontId="31" fillId="0" borderId="0"/>
    <xf numFmtId="44" fontId="32" fillId="0" borderId="0" applyFont="0" applyFill="0" applyBorder="0" applyAlignment="0" applyProtection="0"/>
    <xf numFmtId="0" fontId="28" fillId="0" borderId="0"/>
  </cellStyleXfs>
  <cellXfs count="420">
    <xf numFmtId="0" fontId="0" fillId="0" borderId="0" xfId="0"/>
    <xf numFmtId="0" fontId="0" fillId="3" borderId="0" xfId="0" applyFill="1" applyAlignment="1"/>
    <xf numFmtId="0" fontId="40" fillId="3" borderId="0" xfId="0" applyFont="1" applyFill="1" applyAlignment="1"/>
    <xf numFmtId="0" fontId="41" fillId="3" borderId="0" xfId="0" applyFont="1" applyFill="1"/>
    <xf numFmtId="0" fontId="41" fillId="0" borderId="0" xfId="0" applyFont="1"/>
    <xf numFmtId="0" fontId="38" fillId="3" borderId="0" xfId="0" applyFont="1" applyFill="1" applyAlignment="1"/>
    <xf numFmtId="0" fontId="36" fillId="3" borderId="0" xfId="0" applyFont="1" applyFill="1"/>
    <xf numFmtId="0" fontId="39" fillId="3" borderId="0" xfId="0" applyFont="1" applyFill="1" applyAlignment="1"/>
    <xf numFmtId="165" fontId="35" fillId="0" borderId="1" xfId="0" applyNumberFormat="1" applyFont="1" applyBorder="1" applyAlignment="1">
      <alignment horizontal="right"/>
    </xf>
    <xf numFmtId="0" fontId="0" fillId="5" borderId="0" xfId="0" applyFill="1"/>
    <xf numFmtId="0" fontId="37" fillId="5" borderId="0" xfId="0" applyFont="1" applyFill="1" applyAlignment="1">
      <alignment horizontal="center"/>
    </xf>
    <xf numFmtId="164" fontId="37" fillId="5" borderId="0" xfId="0" applyNumberFormat="1" applyFont="1" applyFill="1" applyAlignment="1">
      <alignment horizontal="center"/>
    </xf>
    <xf numFmtId="0" fontId="42" fillId="3" borderId="1" xfId="0" applyFont="1" applyFill="1" applyBorder="1" applyAlignment="1">
      <alignment horizontal="center" vertical="top"/>
    </xf>
    <xf numFmtId="0" fontId="42" fillId="0" borderId="1" xfId="0" applyFont="1" applyBorder="1" applyAlignment="1">
      <alignment horizontal="center" vertical="top"/>
    </xf>
    <xf numFmtId="0" fontId="42" fillId="3" borderId="1" xfId="0" applyFont="1" applyFill="1" applyBorder="1" applyAlignment="1">
      <alignment horizontal="center" vertical="top" wrapText="1"/>
    </xf>
    <xf numFmtId="164" fontId="42" fillId="3" borderId="1" xfId="0" applyNumberFormat="1" applyFont="1" applyFill="1" applyBorder="1" applyAlignment="1">
      <alignment horizontal="center" vertical="top"/>
    </xf>
    <xf numFmtId="14" fontId="42" fillId="3" borderId="1" xfId="0" applyNumberFormat="1" applyFont="1" applyFill="1" applyBorder="1" applyAlignment="1">
      <alignment horizontal="center" vertical="top"/>
    </xf>
    <xf numFmtId="14" fontId="42" fillId="3" borderId="2" xfId="0" applyNumberFormat="1" applyFont="1" applyFill="1" applyBorder="1" applyAlignment="1">
      <alignment horizontal="center" vertical="top"/>
    </xf>
    <xf numFmtId="0" fontId="41" fillId="0" borderId="1" xfId="0" applyFont="1" applyBorder="1" applyAlignment="1">
      <alignment horizontal="center" vertical="top"/>
    </xf>
    <xf numFmtId="0" fontId="42" fillId="3" borderId="1" xfId="0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164" fontId="42" fillId="3" borderId="1" xfId="0" applyNumberFormat="1" applyFont="1" applyFill="1" applyBorder="1" applyAlignment="1">
      <alignment horizontal="center" vertical="center"/>
    </xf>
    <xf numFmtId="14" fontId="42" fillId="3" borderId="1" xfId="0" applyNumberFormat="1" applyFont="1" applyFill="1" applyBorder="1" applyAlignment="1">
      <alignment horizontal="center" vertical="center"/>
    </xf>
    <xf numFmtId="167" fontId="4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42" fillId="3" borderId="1" xfId="0" applyNumberFormat="1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top"/>
    </xf>
    <xf numFmtId="49" fontId="42" fillId="6" borderId="1" xfId="0" applyNumberFormat="1" applyFont="1" applyFill="1" applyBorder="1" applyAlignment="1">
      <alignment horizontal="center" vertical="center"/>
    </xf>
    <xf numFmtId="0" fontId="42" fillId="7" borderId="1" xfId="0" applyFont="1" applyFill="1" applyBorder="1" applyAlignment="1">
      <alignment horizontal="center" vertical="center"/>
    </xf>
    <xf numFmtId="164" fontId="42" fillId="6" borderId="1" xfId="0" applyNumberFormat="1" applyFont="1" applyFill="1" applyBorder="1" applyAlignment="1">
      <alignment horizontal="center" vertical="center"/>
    </xf>
    <xf numFmtId="167" fontId="42" fillId="6" borderId="1" xfId="0" applyNumberFormat="1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top"/>
    </xf>
    <xf numFmtId="0" fontId="42" fillId="6" borderId="1" xfId="0" applyFont="1" applyFill="1" applyBorder="1" applyAlignment="1">
      <alignment horizontal="center" vertical="center" wrapText="1"/>
    </xf>
    <xf numFmtId="14" fontId="42" fillId="6" borderId="1" xfId="0" applyNumberFormat="1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top" wrapText="1"/>
    </xf>
    <xf numFmtId="14" fontId="42" fillId="6" borderId="4" xfId="0" applyNumberFormat="1" applyFont="1" applyFill="1" applyBorder="1" applyAlignment="1">
      <alignment horizontal="center" vertical="center"/>
    </xf>
    <xf numFmtId="164" fontId="42" fillId="6" borderId="5" xfId="0" applyNumberFormat="1" applyFont="1" applyFill="1" applyBorder="1" applyAlignment="1">
      <alignment horizontal="center" vertical="center"/>
    </xf>
    <xf numFmtId="0" fontId="42" fillId="6" borderId="5" xfId="0" applyFont="1" applyFill="1" applyBorder="1" applyAlignment="1">
      <alignment horizontal="center" vertical="center"/>
    </xf>
    <xf numFmtId="167" fontId="42" fillId="6" borderId="5" xfId="0" applyNumberFormat="1" applyFont="1" applyFill="1" applyBorder="1" applyAlignment="1">
      <alignment horizontal="center" vertical="center"/>
    </xf>
    <xf numFmtId="0" fontId="41" fillId="7" borderId="5" xfId="0" applyFont="1" applyFill="1" applyBorder="1" applyAlignment="1">
      <alignment horizontal="center" vertical="top"/>
    </xf>
    <xf numFmtId="164" fontId="42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42" fillId="6" borderId="3" xfId="0" applyNumberFormat="1" applyFont="1" applyFill="1" applyBorder="1" applyAlignment="1">
      <alignment horizontal="center" vertical="center"/>
    </xf>
    <xf numFmtId="167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/>
    </xf>
    <xf numFmtId="164" fontId="42" fillId="6" borderId="2" xfId="0" applyNumberFormat="1" applyFont="1" applyFill="1" applyBorder="1" applyAlignment="1">
      <alignment horizontal="center" vertical="center"/>
    </xf>
    <xf numFmtId="0" fontId="42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/>
    </xf>
    <xf numFmtId="49" fontId="42" fillId="6" borderId="5" xfId="0" applyNumberFormat="1" applyFont="1" applyFill="1" applyBorder="1" applyAlignment="1">
      <alignment horizontal="center" vertical="center"/>
    </xf>
    <xf numFmtId="0" fontId="42" fillId="6" borderId="5" xfId="0" applyFont="1" applyFill="1" applyBorder="1" applyAlignment="1">
      <alignment horizontal="center" vertical="center"/>
    </xf>
    <xf numFmtId="0" fontId="41" fillId="7" borderId="5" xfId="0" applyFont="1" applyFill="1" applyBorder="1" applyAlignment="1">
      <alignment horizontal="center" vertical="top"/>
    </xf>
    <xf numFmtId="164" fontId="42" fillId="6" borderId="5" xfId="0" applyNumberFormat="1" applyFont="1" applyFill="1" applyBorder="1" applyAlignment="1">
      <alignment horizontal="center" vertical="center"/>
    </xf>
    <xf numFmtId="167" fontId="42" fillId="6" borderId="5" xfId="0" applyNumberFormat="1" applyFont="1" applyFill="1" applyBorder="1" applyAlignment="1">
      <alignment horizontal="center" vertical="center"/>
    </xf>
    <xf numFmtId="14" fontId="42" fillId="6" borderId="5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14" fontId="42" fillId="6" borderId="3" xfId="0" applyNumberFormat="1" applyFont="1" applyFill="1" applyBorder="1" applyAlignment="1">
      <alignment horizontal="center" vertical="center"/>
    </xf>
    <xf numFmtId="0" fontId="42" fillId="7" borderId="3" xfId="0" applyFont="1" applyFill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164" fontId="42" fillId="6" borderId="15" xfId="0" applyNumberFormat="1" applyFont="1" applyFill="1" applyBorder="1" applyAlignment="1">
      <alignment horizontal="center" vertical="center"/>
    </xf>
    <xf numFmtId="164" fontId="42" fillId="6" borderId="17" xfId="0" applyNumberFormat="1" applyFont="1" applyFill="1" applyBorder="1" applyAlignment="1">
      <alignment horizontal="center" vertical="center"/>
    </xf>
    <xf numFmtId="168" fontId="42" fillId="6" borderId="3" xfId="0" applyNumberFormat="1" applyFont="1" applyFill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167" fontId="42" fillId="6" borderId="15" xfId="0" applyNumberFormat="1" applyFont="1" applyFill="1" applyBorder="1" applyAlignment="1">
      <alignment horizontal="center" vertical="center"/>
    </xf>
    <xf numFmtId="49" fontId="42" fillId="6" borderId="5" xfId="0" applyNumberFormat="1" applyFont="1" applyFill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0" fontId="42" fillId="3" borderId="2" xfId="0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14" fontId="42" fillId="6" borderId="1" xfId="0" applyNumberFormat="1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44" fontId="42" fillId="6" borderId="1" xfId="7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49" fontId="42" fillId="6" borderId="5" xfId="0" applyNumberFormat="1" applyFont="1" applyFill="1" applyBorder="1" applyAlignment="1">
      <alignment horizontal="center" vertical="center"/>
    </xf>
    <xf numFmtId="0" fontId="42" fillId="3" borderId="5" xfId="0" applyFont="1" applyFill="1" applyBorder="1" applyAlignment="1">
      <alignment horizontal="center" vertical="center" wrapText="1"/>
    </xf>
    <xf numFmtId="0" fontId="42" fillId="6" borderId="5" xfId="0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14" fontId="42" fillId="6" borderId="5" xfId="0" applyNumberFormat="1" applyFont="1" applyFill="1" applyBorder="1" applyAlignment="1">
      <alignment horizontal="center" vertical="center" wrapText="1"/>
    </xf>
    <xf numFmtId="44" fontId="42" fillId="6" borderId="5" xfId="7" applyFont="1" applyFill="1" applyBorder="1" applyAlignment="1">
      <alignment horizontal="center" vertical="center" wrapText="1"/>
    </xf>
    <xf numFmtId="14" fontId="42" fillId="6" borderId="3" xfId="0" applyNumberFormat="1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0" fontId="42" fillId="6" borderId="19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165" fontId="35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30" fillId="0" borderId="3" xfId="0" applyFont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0" fontId="42" fillId="6" borderId="19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28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8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28" fillId="0" borderId="0" xfId="8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42" fillId="6" borderId="13" xfId="0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169" fontId="30" fillId="0" borderId="3" xfId="0" applyNumberFormat="1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49" fontId="42" fillId="6" borderId="13" xfId="0" applyNumberFormat="1" applyFont="1" applyFill="1" applyBorder="1" applyAlignment="1">
      <alignment horizontal="center" vertical="center"/>
    </xf>
    <xf numFmtId="0" fontId="42" fillId="3" borderId="13" xfId="0" applyFont="1" applyFill="1" applyBorder="1" applyAlignment="1">
      <alignment horizontal="center" vertical="center" wrapText="1"/>
    </xf>
    <xf numFmtId="14" fontId="42" fillId="6" borderId="13" xfId="0" applyNumberFormat="1" applyFont="1" applyFill="1" applyBorder="1" applyAlignment="1">
      <alignment horizontal="center" vertical="center" wrapText="1"/>
    </xf>
    <xf numFmtId="169" fontId="30" fillId="0" borderId="1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44" fontId="0" fillId="0" borderId="0" xfId="0" applyNumberFormat="1"/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0" fontId="42" fillId="6" borderId="1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42" fillId="6" borderId="13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0" fontId="42" fillId="6" borderId="1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2" fillId="6" borderId="13" xfId="0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0" fontId="42" fillId="6" borderId="1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42" fillId="6" borderId="13" xfId="0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0" fontId="42" fillId="6" borderId="1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49" fontId="42" fillId="6" borderId="3" xfId="0" applyNumberFormat="1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42" fillId="6" borderId="3" xfId="0" applyFont="1" applyFill="1" applyBorder="1" applyAlignment="1">
      <alignment horizontal="center" vertical="center" wrapText="1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42" fillId="6" borderId="1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2" fillId="6" borderId="3" xfId="0" applyFont="1" applyFill="1" applyBorder="1" applyAlignment="1">
      <alignment horizontal="center" vertical="center" wrapText="1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" fontId="0" fillId="0" borderId="0" xfId="0" applyNumberFormat="1"/>
    <xf numFmtId="0" fontId="14" fillId="0" borderId="3" xfId="0" applyFont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10" fillId="0" borderId="3" xfId="0" applyFont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42" fillId="6" borderId="3" xfId="0" applyNumberFormat="1" applyFont="1" applyFill="1" applyBorder="1" applyAlignment="1">
      <alignment horizontal="center" vertical="center"/>
    </xf>
    <xf numFmtId="44" fontId="42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37" fillId="5" borderId="1" xfId="0" applyNumberFormat="1" applyFont="1" applyFill="1" applyBorder="1" applyAlignment="1">
      <alignment horizontal="center"/>
    </xf>
    <xf numFmtId="0" fontId="37" fillId="5" borderId="1" xfId="0" applyFont="1" applyFill="1" applyBorder="1" applyAlignment="1">
      <alignment horizontal="center"/>
    </xf>
    <xf numFmtId="0" fontId="35" fillId="0" borderId="1" xfId="0" applyFont="1" applyFill="1" applyBorder="1" applyAlignment="1"/>
    <xf numFmtId="0" fontId="37" fillId="4" borderId="1" xfId="0" applyFont="1" applyFill="1" applyBorder="1" applyAlignment="1">
      <alignment horizontal="center"/>
    </xf>
    <xf numFmtId="49" fontId="42" fillId="6" borderId="5" xfId="0" applyNumberFormat="1" applyFont="1" applyFill="1" applyBorder="1" applyAlignment="1">
      <alignment horizontal="center" vertical="center"/>
    </xf>
    <xf numFmtId="49" fontId="42" fillId="6" borderId="6" xfId="0" applyNumberFormat="1" applyFont="1" applyFill="1" applyBorder="1" applyAlignment="1">
      <alignment horizontal="center" vertical="center"/>
    </xf>
    <xf numFmtId="0" fontId="42" fillId="3" borderId="5" xfId="0" applyFont="1" applyFill="1" applyBorder="1" applyAlignment="1">
      <alignment horizontal="center" vertical="center" wrapText="1"/>
    </xf>
    <xf numFmtId="0" fontId="42" fillId="3" borderId="6" xfId="0" applyFont="1" applyFill="1" applyBorder="1" applyAlignment="1">
      <alignment horizontal="center" vertical="center" wrapText="1"/>
    </xf>
    <xf numFmtId="0" fontId="42" fillId="6" borderId="5" xfId="0" applyFont="1" applyFill="1" applyBorder="1" applyAlignment="1">
      <alignment horizontal="center" vertical="center" wrapText="1"/>
    </xf>
    <xf numFmtId="0" fontId="42" fillId="6" borderId="6" xfId="0" applyFont="1" applyFill="1" applyBorder="1" applyAlignment="1">
      <alignment horizontal="center" vertical="center" wrapText="1"/>
    </xf>
    <xf numFmtId="0" fontId="42" fillId="6" borderId="5" xfId="0" applyFont="1" applyFill="1" applyBorder="1" applyAlignment="1">
      <alignment horizontal="center" vertical="center"/>
    </xf>
    <xf numFmtId="0" fontId="42" fillId="6" borderId="6" xfId="0" applyFont="1" applyFill="1" applyBorder="1" applyAlignment="1">
      <alignment horizontal="center" vertical="center"/>
    </xf>
    <xf numFmtId="164" fontId="42" fillId="6" borderId="3" xfId="0" applyNumberFormat="1" applyFont="1" applyFill="1" applyBorder="1" applyAlignment="1">
      <alignment horizontal="center" vertical="center"/>
    </xf>
    <xf numFmtId="164" fontId="42" fillId="6" borderId="9" xfId="0" applyNumberFormat="1" applyFont="1" applyFill="1" applyBorder="1" applyAlignment="1">
      <alignment horizontal="center" vertical="center"/>
    </xf>
    <xf numFmtId="164" fontId="42" fillId="6" borderId="10" xfId="0" applyNumberFormat="1" applyFont="1" applyFill="1" applyBorder="1" applyAlignment="1">
      <alignment horizontal="center" vertical="center"/>
    </xf>
    <xf numFmtId="0" fontId="41" fillId="7" borderId="3" xfId="0" applyFont="1" applyFill="1" applyBorder="1" applyAlignment="1">
      <alignment horizontal="center" vertical="top"/>
    </xf>
    <xf numFmtId="0" fontId="42" fillId="6" borderId="7" xfId="0" applyFont="1" applyFill="1" applyBorder="1" applyAlignment="1">
      <alignment horizontal="center" vertical="center"/>
    </xf>
    <xf numFmtId="0" fontId="42" fillId="6" borderId="8" xfId="0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/>
    </xf>
    <xf numFmtId="167" fontId="42" fillId="6" borderId="3" xfId="0" applyNumberFormat="1" applyFont="1" applyFill="1" applyBorder="1" applyAlignment="1">
      <alignment horizontal="center" vertical="center"/>
    </xf>
    <xf numFmtId="0" fontId="41" fillId="7" borderId="5" xfId="0" applyFont="1" applyFill="1" applyBorder="1" applyAlignment="1">
      <alignment horizontal="center" vertical="top"/>
    </xf>
    <xf numFmtId="0" fontId="41" fillId="7" borderId="6" xfId="0" applyFont="1" applyFill="1" applyBorder="1" applyAlignment="1">
      <alignment horizontal="center" vertical="top"/>
    </xf>
    <xf numFmtId="164" fontId="42" fillId="6" borderId="5" xfId="0" applyNumberFormat="1" applyFont="1" applyFill="1" applyBorder="1" applyAlignment="1">
      <alignment horizontal="center" vertical="center"/>
    </xf>
    <xf numFmtId="164" fontId="42" fillId="6" borderId="6" xfId="0" applyNumberFormat="1" applyFont="1" applyFill="1" applyBorder="1" applyAlignment="1">
      <alignment horizontal="center" vertical="center"/>
    </xf>
    <xf numFmtId="167" fontId="42" fillId="6" borderId="5" xfId="0" applyNumberFormat="1" applyFont="1" applyFill="1" applyBorder="1" applyAlignment="1">
      <alignment horizontal="center" vertical="center"/>
    </xf>
    <xf numFmtId="167" fontId="42" fillId="6" borderId="6" xfId="0" applyNumberFormat="1" applyFont="1" applyFill="1" applyBorder="1" applyAlignment="1">
      <alignment horizontal="center" vertical="center"/>
    </xf>
    <xf numFmtId="14" fontId="42" fillId="6" borderId="5" xfId="0" applyNumberFormat="1" applyFont="1" applyFill="1" applyBorder="1" applyAlignment="1">
      <alignment horizontal="center" vertical="center"/>
    </xf>
    <xf numFmtId="14" fontId="42" fillId="6" borderId="6" xfId="0" applyNumberFormat="1" applyFont="1" applyFill="1" applyBorder="1" applyAlignment="1">
      <alignment horizontal="center" vertical="center"/>
    </xf>
    <xf numFmtId="49" fontId="42" fillId="6" borderId="3" xfId="0" applyNumberFormat="1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/>
    </xf>
    <xf numFmtId="14" fontId="42" fillId="6" borderId="3" xfId="0" applyNumberFormat="1" applyFont="1" applyFill="1" applyBorder="1" applyAlignment="1">
      <alignment horizontal="center" vertical="center"/>
    </xf>
    <xf numFmtId="0" fontId="42" fillId="6" borderId="13" xfId="0" applyFont="1" applyFill="1" applyBorder="1" applyAlignment="1">
      <alignment horizontal="center" vertical="center" wrapText="1"/>
    </xf>
    <xf numFmtId="0" fontId="42" fillId="6" borderId="14" xfId="0" applyFont="1" applyFill="1" applyBorder="1" applyAlignment="1">
      <alignment horizontal="center" vertical="center" wrapText="1"/>
    </xf>
    <xf numFmtId="168" fontId="42" fillId="6" borderId="3" xfId="0" applyNumberFormat="1" applyFont="1" applyFill="1" applyBorder="1" applyAlignment="1">
      <alignment horizontal="center" vertical="center"/>
    </xf>
    <xf numFmtId="0" fontId="42" fillId="6" borderId="3" xfId="0" applyNumberFormat="1" applyFont="1" applyFill="1" applyBorder="1" applyAlignment="1">
      <alignment horizontal="center" vertical="center"/>
    </xf>
    <xf numFmtId="167" fontId="42" fillId="6" borderId="15" xfId="0" applyNumberFormat="1" applyFont="1" applyFill="1" applyBorder="1" applyAlignment="1">
      <alignment horizontal="center" vertical="center"/>
    </xf>
    <xf numFmtId="167" fontId="42" fillId="6" borderId="16" xfId="0" applyNumberFormat="1" applyFont="1" applyFill="1" applyBorder="1" applyAlignment="1">
      <alignment horizontal="center" vertical="center"/>
    </xf>
    <xf numFmtId="164" fontId="42" fillId="6" borderId="12" xfId="0" applyNumberFormat="1" applyFont="1" applyFill="1" applyBorder="1" applyAlignment="1">
      <alignment horizontal="center" vertical="center"/>
    </xf>
    <xf numFmtId="164" fontId="42" fillId="6" borderId="17" xfId="0" applyNumberFormat="1" applyFont="1" applyFill="1" applyBorder="1" applyAlignment="1">
      <alignment horizontal="center" vertical="center"/>
    </xf>
    <xf numFmtId="164" fontId="42" fillId="6" borderId="18" xfId="0" applyNumberFormat="1" applyFont="1" applyFill="1" applyBorder="1" applyAlignment="1">
      <alignment horizontal="center" vertical="center"/>
    </xf>
    <xf numFmtId="164" fontId="42" fillId="6" borderId="15" xfId="0" applyNumberFormat="1" applyFont="1" applyFill="1" applyBorder="1" applyAlignment="1">
      <alignment horizontal="center" vertical="center"/>
    </xf>
    <xf numFmtId="164" fontId="42" fillId="6" borderId="16" xfId="0" applyNumberFormat="1" applyFont="1" applyFill="1" applyBorder="1" applyAlignment="1">
      <alignment horizontal="center" vertical="center"/>
    </xf>
    <xf numFmtId="0" fontId="42" fillId="6" borderId="19" xfId="0" applyFont="1" applyFill="1" applyBorder="1" applyAlignment="1">
      <alignment horizontal="center" vertical="center" wrapText="1"/>
    </xf>
    <xf numFmtId="44" fontId="42" fillId="6" borderId="3" xfId="7" applyFont="1" applyFill="1" applyBorder="1" applyAlignment="1">
      <alignment horizontal="center" vertical="center" wrapText="1"/>
    </xf>
    <xf numFmtId="44" fontId="42" fillId="6" borderId="15" xfId="7" applyFont="1" applyFill="1" applyBorder="1" applyAlignment="1">
      <alignment horizontal="center" vertical="center" wrapText="1"/>
    </xf>
    <xf numFmtId="44" fontId="42" fillId="6" borderId="16" xfId="7" applyFont="1" applyFill="1" applyBorder="1" applyAlignment="1">
      <alignment horizontal="center" vertical="center" wrapText="1"/>
    </xf>
    <xf numFmtId="44" fontId="42" fillId="6" borderId="20" xfId="7" applyFont="1" applyFill="1" applyBorder="1" applyAlignment="1">
      <alignment horizontal="center" vertical="center" wrapText="1"/>
    </xf>
    <xf numFmtId="44" fontId="42" fillId="6" borderId="5" xfId="7" applyFont="1" applyFill="1" applyBorder="1" applyAlignment="1">
      <alignment horizontal="center" vertical="center" wrapText="1"/>
    </xf>
    <xf numFmtId="44" fontId="42" fillId="6" borderId="12" xfId="7" applyFont="1" applyFill="1" applyBorder="1" applyAlignment="1">
      <alignment horizontal="center" vertical="center" wrapText="1"/>
    </xf>
    <xf numFmtId="44" fontId="42" fillId="6" borderId="6" xfId="7" applyFont="1" applyFill="1" applyBorder="1" applyAlignment="1">
      <alignment horizontal="center" vertical="center" wrapText="1"/>
    </xf>
    <xf numFmtId="44" fontId="42" fillId="6" borderId="17" xfId="7" applyFont="1" applyFill="1" applyBorder="1" applyAlignment="1">
      <alignment horizontal="center" vertical="center" wrapText="1"/>
    </xf>
    <xf numFmtId="44" fontId="42" fillId="6" borderId="18" xfId="7" applyFont="1" applyFill="1" applyBorder="1" applyAlignment="1">
      <alignment horizontal="center" vertical="center" wrapText="1"/>
    </xf>
    <xf numFmtId="44" fontId="42" fillId="6" borderId="21" xfId="7" applyFont="1" applyFill="1" applyBorder="1" applyAlignment="1">
      <alignment horizontal="center" vertical="center" wrapText="1"/>
    </xf>
    <xf numFmtId="0" fontId="37" fillId="4" borderId="4" xfId="0" applyFont="1" applyFill="1" applyBorder="1" applyAlignment="1">
      <alignment horizontal="center"/>
    </xf>
    <xf numFmtId="0" fontId="37" fillId="4" borderId="7" xfId="0" applyFont="1" applyFill="1" applyBorder="1" applyAlignment="1">
      <alignment horizontal="center"/>
    </xf>
    <xf numFmtId="0" fontId="37" fillId="4" borderId="5" xfId="0" applyFont="1" applyFill="1" applyBorder="1" applyAlignment="1">
      <alignment horizontal="center"/>
    </xf>
    <xf numFmtId="0" fontId="37" fillId="5" borderId="5" xfId="0" applyFont="1" applyFill="1" applyBorder="1" applyAlignment="1">
      <alignment horizontal="center"/>
    </xf>
    <xf numFmtId="164" fontId="37" fillId="5" borderId="5" xfId="0" applyNumberFormat="1" applyFont="1" applyFill="1" applyBorder="1" applyAlignment="1">
      <alignment horizontal="center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42" fillId="6" borderId="13" xfId="7" applyFont="1" applyFill="1" applyBorder="1" applyAlignment="1">
      <alignment horizontal="center" vertical="center" wrapText="1"/>
    </xf>
    <xf numFmtId="44" fontId="42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2" fillId="6" borderId="13" xfId="0" applyNumberFormat="1" applyFont="1" applyFill="1" applyBorder="1" applyAlignment="1">
      <alignment horizontal="center" vertical="center"/>
    </xf>
    <xf numFmtId="0" fontId="42" fillId="6" borderId="19" xfId="0" applyNumberFormat="1" applyFont="1" applyFill="1" applyBorder="1" applyAlignment="1">
      <alignment horizontal="center" vertical="center"/>
    </xf>
    <xf numFmtId="0" fontId="42" fillId="6" borderId="14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4" fontId="42" fillId="6" borderId="19" xfId="7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42917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43252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43282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328" t="s">
        <v>279</v>
      </c>
      <c r="B22" s="328" t="s">
        <v>279</v>
      </c>
      <c r="C22" s="330" t="s">
        <v>75</v>
      </c>
      <c r="D22" s="324" t="s">
        <v>104</v>
      </c>
      <c r="E22" s="326" t="s">
        <v>88</v>
      </c>
      <c r="F22" s="328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36">
        <v>0</v>
      </c>
      <c r="R22" s="332">
        <v>0</v>
      </c>
      <c r="S22" s="338">
        <v>0</v>
      </c>
      <c r="T22" s="332">
        <v>0</v>
      </c>
      <c r="U22" s="339">
        <f t="shared" si="1"/>
        <v>0</v>
      </c>
      <c r="V22" s="332">
        <f>P22+P23</f>
        <v>1406.06</v>
      </c>
      <c r="W22" s="333">
        <f t="shared" si="3"/>
        <v>1406.06</v>
      </c>
      <c r="X22" s="335"/>
    </row>
    <row r="23" spans="1:24" ht="38.25" customHeight="1" x14ac:dyDescent="0.2">
      <c r="A23" s="329"/>
      <c r="B23" s="329"/>
      <c r="C23" s="331"/>
      <c r="D23" s="325"/>
      <c r="E23" s="327"/>
      <c r="F23" s="329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37"/>
      <c r="R23" s="332"/>
      <c r="S23" s="338"/>
      <c r="T23" s="332"/>
      <c r="U23" s="339"/>
      <c r="V23" s="332"/>
      <c r="W23" s="334"/>
      <c r="X23" s="335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43313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43344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328" t="s">
        <v>250</v>
      </c>
      <c r="B16" s="328" t="s">
        <v>250</v>
      </c>
      <c r="C16" s="330" t="s">
        <v>319</v>
      </c>
      <c r="D16" s="324" t="s">
        <v>324</v>
      </c>
      <c r="E16" s="326" t="s">
        <v>87</v>
      </c>
      <c r="F16" s="328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46">
        <v>43356</v>
      </c>
      <c r="M16" s="346">
        <v>43357</v>
      </c>
      <c r="N16" s="31">
        <f>1465.14/2</f>
        <v>732.57</v>
      </c>
      <c r="O16" s="31"/>
      <c r="P16" s="342">
        <f>N16+O17</f>
        <v>1465.14</v>
      </c>
      <c r="Q16" s="330">
        <v>2</v>
      </c>
      <c r="R16" s="342">
        <v>120</v>
      </c>
      <c r="S16" s="330">
        <v>0</v>
      </c>
      <c r="T16" s="342">
        <v>0</v>
      </c>
      <c r="U16" s="344">
        <f t="shared" si="1"/>
        <v>240</v>
      </c>
      <c r="V16" s="342">
        <f t="shared" si="2"/>
        <v>1705.14</v>
      </c>
      <c r="W16" s="342">
        <f t="shared" si="3"/>
        <v>1705.14</v>
      </c>
      <c r="X16" s="340"/>
    </row>
    <row r="17" spans="1:24" ht="14.25" x14ac:dyDescent="0.2">
      <c r="A17" s="329"/>
      <c r="B17" s="329"/>
      <c r="C17" s="331"/>
      <c r="D17" s="325"/>
      <c r="E17" s="327"/>
      <c r="F17" s="329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47"/>
      <c r="M17" s="347"/>
      <c r="N17" s="31"/>
      <c r="O17" s="31">
        <f>1465.14/2</f>
        <v>732.57</v>
      </c>
      <c r="P17" s="343"/>
      <c r="Q17" s="331"/>
      <c r="R17" s="343"/>
      <c r="S17" s="331"/>
      <c r="T17" s="343"/>
      <c r="U17" s="345"/>
      <c r="V17" s="343"/>
      <c r="W17" s="343"/>
      <c r="X17" s="341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43374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43405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353" t="s">
        <v>372</v>
      </c>
      <c r="B21" s="353" t="s">
        <v>372</v>
      </c>
      <c r="C21" s="338" t="s">
        <v>75</v>
      </c>
      <c r="D21" s="348" t="s">
        <v>74</v>
      </c>
      <c r="E21" s="349" t="s">
        <v>88</v>
      </c>
      <c r="F21" s="350" t="s">
        <v>374</v>
      </c>
      <c r="G21" s="351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352">
        <v>43433</v>
      </c>
      <c r="M21" s="352">
        <v>43434</v>
      </c>
      <c r="N21" s="362">
        <f>1395.23/2</f>
        <v>697.61500000000001</v>
      </c>
      <c r="O21" s="360">
        <f>1395.23/2</f>
        <v>697.61500000000001</v>
      </c>
      <c r="P21" s="355">
        <f t="shared" si="0"/>
        <v>697.61500000000001</v>
      </c>
      <c r="Q21" s="356">
        <v>0</v>
      </c>
      <c r="R21" s="355">
        <v>0</v>
      </c>
      <c r="S21" s="356">
        <v>0</v>
      </c>
      <c r="T21" s="355">
        <v>0</v>
      </c>
      <c r="U21" s="357">
        <f t="shared" si="1"/>
        <v>0</v>
      </c>
      <c r="V21" s="342">
        <f t="shared" si="2"/>
        <v>697.61500000000001</v>
      </c>
      <c r="W21" s="360">
        <f t="shared" si="3"/>
        <v>697.61500000000001</v>
      </c>
      <c r="X21" s="352"/>
    </row>
    <row r="22" spans="1:24" ht="26.25" customHeight="1" x14ac:dyDescent="0.2">
      <c r="A22" s="354"/>
      <c r="B22" s="354"/>
      <c r="C22" s="338"/>
      <c r="D22" s="348"/>
      <c r="E22" s="349"/>
      <c r="F22" s="350"/>
      <c r="G22" s="351"/>
      <c r="H22" s="52" t="s">
        <v>38</v>
      </c>
      <c r="I22" s="51" t="s">
        <v>39</v>
      </c>
      <c r="J22" s="52" t="s">
        <v>111</v>
      </c>
      <c r="K22" s="51" t="s">
        <v>112</v>
      </c>
      <c r="L22" s="352"/>
      <c r="M22" s="352"/>
      <c r="N22" s="363"/>
      <c r="O22" s="361"/>
      <c r="P22" s="355">
        <f t="shared" si="0"/>
        <v>0</v>
      </c>
      <c r="Q22" s="356"/>
      <c r="R22" s="355"/>
      <c r="S22" s="356"/>
      <c r="T22" s="355"/>
      <c r="U22" s="358"/>
      <c r="V22" s="359"/>
      <c r="W22" s="361"/>
      <c r="X22" s="352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43435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43466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43497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43525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42948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43556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43586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43617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353" t="s">
        <v>250</v>
      </c>
      <c r="B21" s="353" t="s">
        <v>250</v>
      </c>
      <c r="C21" s="350" t="s">
        <v>319</v>
      </c>
      <c r="D21" s="348"/>
      <c r="E21" s="349"/>
      <c r="F21" s="350" t="s">
        <v>458</v>
      </c>
      <c r="G21" s="350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65">
        <f>3129.35/2</f>
        <v>1564.675</v>
      </c>
      <c r="O21" s="365">
        <f>3129.35/2</f>
        <v>1564.675</v>
      </c>
      <c r="P21" s="365">
        <v>1925.28</v>
      </c>
      <c r="Q21" s="350">
        <v>2</v>
      </c>
      <c r="R21" s="365">
        <v>120</v>
      </c>
      <c r="S21" s="365">
        <v>0</v>
      </c>
      <c r="T21" s="365">
        <v>0</v>
      </c>
      <c r="U21" s="366">
        <f t="shared" ref="U21" si="4">(Q21*R21)+(S21*T21)</f>
        <v>240</v>
      </c>
      <c r="V21" s="369">
        <f t="shared" ref="V21" si="5">U21+P21</f>
        <v>2165.2799999999997</v>
      </c>
      <c r="W21" s="372">
        <f t="shared" si="3"/>
        <v>2165.2799999999997</v>
      </c>
      <c r="X21" s="365"/>
    </row>
    <row r="22" spans="1:24" ht="14.25" x14ac:dyDescent="0.2">
      <c r="A22" s="364"/>
      <c r="B22" s="364"/>
      <c r="C22" s="350"/>
      <c r="D22" s="348"/>
      <c r="E22" s="349"/>
      <c r="F22" s="350"/>
      <c r="G22" s="350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65"/>
      <c r="O22" s="365"/>
      <c r="P22" s="365"/>
      <c r="Q22" s="350"/>
      <c r="R22" s="365"/>
      <c r="S22" s="365"/>
      <c r="T22" s="365"/>
      <c r="U22" s="367"/>
      <c r="V22" s="370"/>
      <c r="W22" s="373"/>
      <c r="X22" s="365"/>
    </row>
    <row r="23" spans="1:24" ht="15" customHeight="1" x14ac:dyDescent="0.2">
      <c r="A23" s="354"/>
      <c r="B23" s="354"/>
      <c r="C23" s="350"/>
      <c r="D23" s="348"/>
      <c r="E23" s="349"/>
      <c r="F23" s="350"/>
      <c r="G23" s="350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65"/>
      <c r="O23" s="365"/>
      <c r="P23" s="365"/>
      <c r="Q23" s="350"/>
      <c r="R23" s="365"/>
      <c r="S23" s="365"/>
      <c r="T23" s="365"/>
      <c r="U23" s="368"/>
      <c r="V23" s="371"/>
      <c r="W23" s="374"/>
      <c r="X23" s="365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94">
        <v>43586</v>
      </c>
    </row>
    <row r="6" spans="1:47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47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75" t="s">
        <v>9</v>
      </c>
    </row>
    <row r="8" spans="1:47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7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7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94">
        <v>43586</v>
      </c>
    </row>
    <row r="6" spans="1:47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47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75" t="s">
        <v>9</v>
      </c>
    </row>
    <row r="8" spans="1:47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7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7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94">
        <v>43586</v>
      </c>
    </row>
    <row r="6" spans="1:47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47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75" t="s">
        <v>9</v>
      </c>
    </row>
    <row r="8" spans="1:47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7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7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94">
        <v>43586</v>
      </c>
    </row>
    <row r="6" spans="1:46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46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75" t="s">
        <v>9</v>
      </c>
    </row>
    <row r="8" spans="1:46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7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7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94">
        <v>43586</v>
      </c>
    </row>
    <row r="6" spans="1:46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46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75" t="s">
        <v>9</v>
      </c>
    </row>
    <row r="8" spans="1:46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7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7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94">
        <v>43586</v>
      </c>
    </row>
    <row r="6" spans="1:46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46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75" t="s">
        <v>9</v>
      </c>
    </row>
    <row r="8" spans="1:46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7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7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42979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43009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21"/>
      <c r="B4" s="321"/>
      <c r="C4" s="321"/>
      <c r="D4" s="321"/>
      <c r="E4" s="321"/>
      <c r="F4" s="321"/>
      <c r="G4" s="321"/>
      <c r="H4" s="10" t="s">
        <v>27</v>
      </c>
      <c r="I4" s="10" t="s">
        <v>28</v>
      </c>
      <c r="J4" s="10" t="s">
        <v>27</v>
      </c>
      <c r="K4" s="11" t="s">
        <v>29</v>
      </c>
      <c r="L4" s="321"/>
      <c r="M4" s="321"/>
      <c r="N4" s="320"/>
      <c r="O4" s="320"/>
      <c r="P4" s="320"/>
      <c r="Q4" s="10" t="s">
        <v>2</v>
      </c>
      <c r="R4" s="11" t="s">
        <v>30</v>
      </c>
      <c r="S4" s="10" t="s">
        <v>2</v>
      </c>
      <c r="T4" s="11" t="s">
        <v>30</v>
      </c>
      <c r="U4" s="321"/>
      <c r="V4" s="320"/>
      <c r="W4" s="323"/>
      <c r="X4" s="376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80" t="s">
        <v>250</v>
      </c>
      <c r="B7" s="380" t="s">
        <v>258</v>
      </c>
      <c r="C7" s="380" t="s">
        <v>183</v>
      </c>
      <c r="D7" s="380">
        <v>119</v>
      </c>
      <c r="E7" s="382" t="s">
        <v>591</v>
      </c>
      <c r="F7" s="380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85">
        <v>0</v>
      </c>
      <c r="O7" s="385">
        <v>0</v>
      </c>
      <c r="P7" s="383">
        <f t="shared" si="0"/>
        <v>0</v>
      </c>
      <c r="Q7" s="386">
        <v>5</v>
      </c>
      <c r="R7" s="388">
        <v>120</v>
      </c>
      <c r="S7" s="386">
        <v>0</v>
      </c>
      <c r="T7" s="388">
        <v>0</v>
      </c>
      <c r="U7" s="383">
        <f t="shared" si="1"/>
        <v>600</v>
      </c>
      <c r="V7" s="383">
        <f t="shared" si="2"/>
        <v>600</v>
      </c>
      <c r="W7" s="383">
        <f t="shared" si="3"/>
        <v>600</v>
      </c>
      <c r="X7" s="386"/>
    </row>
    <row r="8" spans="1:24" ht="15" x14ac:dyDescent="0.2">
      <c r="A8" s="381"/>
      <c r="B8" s="381"/>
      <c r="C8" s="381"/>
      <c r="D8" s="381"/>
      <c r="E8" s="382"/>
      <c r="F8" s="381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85"/>
      <c r="O8" s="385"/>
      <c r="P8" s="384"/>
      <c r="Q8" s="387"/>
      <c r="R8" s="389"/>
      <c r="S8" s="387"/>
      <c r="T8" s="389"/>
      <c r="U8" s="384"/>
      <c r="V8" s="384"/>
      <c r="W8" s="384"/>
      <c r="X8" s="387"/>
    </row>
    <row r="9" spans="1:24" ht="15" x14ac:dyDescent="0.2">
      <c r="A9" s="380" t="s">
        <v>250</v>
      </c>
      <c r="B9" s="380" t="s">
        <v>212</v>
      </c>
      <c r="C9" s="390" t="s">
        <v>270</v>
      </c>
      <c r="D9" s="380">
        <v>158</v>
      </c>
      <c r="E9" s="382" t="s">
        <v>592</v>
      </c>
      <c r="F9" s="390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85">
        <v>0</v>
      </c>
      <c r="O9" s="385">
        <v>0</v>
      </c>
      <c r="P9" s="383">
        <f t="shared" ref="P9" si="4">SUM(N9:O9)</f>
        <v>0</v>
      </c>
      <c r="Q9" s="386">
        <v>5</v>
      </c>
      <c r="R9" s="388">
        <v>120</v>
      </c>
      <c r="S9" s="386">
        <v>0</v>
      </c>
      <c r="T9" s="388">
        <v>0</v>
      </c>
      <c r="U9" s="383">
        <f t="shared" ref="U9" si="5">(Q9*R9)+(S9*T9)</f>
        <v>600</v>
      </c>
      <c r="V9" s="383">
        <f t="shared" ref="V9" si="6">U9+P9</f>
        <v>600</v>
      </c>
      <c r="W9" s="383">
        <f t="shared" ref="W9" si="7">V9</f>
        <v>600</v>
      </c>
      <c r="X9" s="386"/>
    </row>
    <row r="10" spans="1:24" ht="15" x14ac:dyDescent="0.2">
      <c r="A10" s="381"/>
      <c r="B10" s="381"/>
      <c r="C10" s="381"/>
      <c r="D10" s="381"/>
      <c r="E10" s="382"/>
      <c r="F10" s="381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85"/>
      <c r="O10" s="385"/>
      <c r="P10" s="384"/>
      <c r="Q10" s="387"/>
      <c r="R10" s="389"/>
      <c r="S10" s="387"/>
      <c r="T10" s="389"/>
      <c r="U10" s="384"/>
      <c r="V10" s="384"/>
      <c r="W10" s="384"/>
      <c r="X10" s="387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43009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24" sqref="D24:E2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ht="15" x14ac:dyDescent="0.2">
      <c r="A5" s="248" t="s">
        <v>250</v>
      </c>
      <c r="B5" s="261" t="s">
        <v>322</v>
      </c>
      <c r="C5" s="261" t="s">
        <v>323</v>
      </c>
      <c r="D5" s="254">
        <v>87</v>
      </c>
      <c r="E5" s="252" t="s">
        <v>648</v>
      </c>
      <c r="F5" s="261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262" t="s">
        <v>661</v>
      </c>
      <c r="G6" s="98" t="s">
        <v>31</v>
      </c>
      <c r="H6" s="98" t="s">
        <v>32</v>
      </c>
      <c r="I6" s="98" t="s">
        <v>33</v>
      </c>
      <c r="J6" s="261" t="s">
        <v>659</v>
      </c>
      <c r="K6" s="261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248" t="s">
        <v>229</v>
      </c>
      <c r="B5" s="248" t="s">
        <v>215</v>
      </c>
      <c r="C5" s="248" t="s">
        <v>276</v>
      </c>
      <c r="D5" s="260">
        <v>157</v>
      </c>
      <c r="E5" s="260" t="s">
        <v>664</v>
      </c>
      <c r="F5" s="260" t="s">
        <v>663</v>
      </c>
      <c r="G5" s="98" t="s">
        <v>31</v>
      </c>
      <c r="H5" s="98" t="s">
        <v>32</v>
      </c>
      <c r="I5" s="98" t="s">
        <v>33</v>
      </c>
      <c r="J5" s="98" t="s">
        <v>364</v>
      </c>
      <c r="K5" s="98" t="s">
        <v>363</v>
      </c>
      <c r="L5" s="266">
        <v>44770</v>
      </c>
      <c r="M5" s="266">
        <v>44771</v>
      </c>
      <c r="N5" s="260">
        <f>1417.14/2</f>
        <v>708.57</v>
      </c>
      <c r="O5" s="260">
        <f>1417.14/2</f>
        <v>708.57</v>
      </c>
      <c r="P5" s="259">
        <f>SUM(N5:O5)</f>
        <v>1417.14</v>
      </c>
      <c r="Q5" s="260">
        <v>4</v>
      </c>
      <c r="R5" s="267">
        <v>120</v>
      </c>
      <c r="S5" s="260">
        <v>0</v>
      </c>
      <c r="T5" s="267">
        <v>0</v>
      </c>
      <c r="U5" s="259">
        <f t="shared" ref="U5" si="0">(Q5*R5)+(S5*T5)</f>
        <v>480</v>
      </c>
      <c r="V5" s="259">
        <f>U5+P5</f>
        <v>1897.14</v>
      </c>
      <c r="W5" s="259">
        <f>V5</f>
        <v>1897.14</v>
      </c>
      <c r="X5" s="260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2" sqref="D12:E12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248" t="s">
        <v>597</v>
      </c>
      <c r="B5" s="248" t="s">
        <v>301</v>
      </c>
      <c r="C5" s="248" t="s">
        <v>608</v>
      </c>
      <c r="D5" s="263">
        <v>355</v>
      </c>
      <c r="E5" s="248" t="s">
        <v>313</v>
      </c>
      <c r="F5" s="265" t="s">
        <v>666</v>
      </c>
      <c r="G5" s="98" t="s">
        <v>31</v>
      </c>
      <c r="H5" s="98" t="s">
        <v>32</v>
      </c>
      <c r="I5" s="98" t="s">
        <v>33</v>
      </c>
      <c r="J5" s="98" t="s">
        <v>111</v>
      </c>
      <c r="K5" s="98" t="s">
        <v>112</v>
      </c>
      <c r="L5" s="266">
        <v>44783</v>
      </c>
      <c r="M5" s="266">
        <v>44786</v>
      </c>
      <c r="N5" s="265">
        <f>938.66/2</f>
        <v>469.33</v>
      </c>
      <c r="O5" s="265">
        <f>938.66/2</f>
        <v>469.33</v>
      </c>
      <c r="P5" s="264">
        <f>SUM(N5:O5)</f>
        <v>938.66</v>
      </c>
      <c r="Q5" s="265">
        <v>4</v>
      </c>
      <c r="R5" s="267">
        <v>120</v>
      </c>
      <c r="S5" s="265">
        <v>0</v>
      </c>
      <c r="T5" s="267">
        <v>0</v>
      </c>
      <c r="U5" s="264">
        <f>Q5*R5+S5*T5</f>
        <v>480</v>
      </c>
      <c r="V5" s="264">
        <f>P5+U5</f>
        <v>1418.6599999999999</v>
      </c>
      <c r="W5" s="264">
        <f>V5</f>
        <v>1418.6599999999999</v>
      </c>
      <c r="X5" s="265"/>
    </row>
    <row r="6" spans="1:24" s="268" customFormat="1" ht="15" x14ac:dyDescent="0.2">
      <c r="A6" s="248" t="s">
        <v>597</v>
      </c>
      <c r="B6" s="248" t="s">
        <v>597</v>
      </c>
      <c r="C6" s="248" t="s">
        <v>412</v>
      </c>
      <c r="D6" s="263">
        <v>0</v>
      </c>
      <c r="E6" s="248" t="s">
        <v>561</v>
      </c>
      <c r="F6" s="265" t="s">
        <v>666</v>
      </c>
      <c r="G6" s="98" t="s">
        <v>31</v>
      </c>
      <c r="H6" s="98" t="s">
        <v>32</v>
      </c>
      <c r="I6" s="98" t="s">
        <v>33</v>
      </c>
      <c r="J6" s="98" t="s">
        <v>111</v>
      </c>
      <c r="K6" s="98" t="s">
        <v>112</v>
      </c>
      <c r="L6" s="266">
        <v>44783</v>
      </c>
      <c r="M6" s="266">
        <v>44786</v>
      </c>
      <c r="N6" s="265">
        <f>938.66/2</f>
        <v>469.33</v>
      </c>
      <c r="O6" s="265">
        <f>938.66/2</f>
        <v>469.33</v>
      </c>
      <c r="P6" s="264">
        <f t="shared" ref="P6:P11" si="0">SUM(N6:O6)</f>
        <v>938.66</v>
      </c>
      <c r="Q6" s="265">
        <v>0</v>
      </c>
      <c r="R6" s="267">
        <v>0</v>
      </c>
      <c r="S6" s="265">
        <v>0</v>
      </c>
      <c r="T6" s="267">
        <v>0</v>
      </c>
      <c r="U6" s="264">
        <f t="shared" ref="U6:U12" si="1">Q6*R6+S6*T6</f>
        <v>0</v>
      </c>
      <c r="V6" s="264">
        <f t="shared" ref="V6:V12" si="2">P6+U6</f>
        <v>938.66</v>
      </c>
      <c r="W6" s="264">
        <f t="shared" ref="W6:W12" si="3">V6</f>
        <v>938.66</v>
      </c>
      <c r="X6" s="265"/>
    </row>
    <row r="7" spans="1:24" s="268" customFormat="1" ht="15" x14ac:dyDescent="0.2">
      <c r="A7" s="248" t="s">
        <v>372</v>
      </c>
      <c r="B7" s="248" t="s">
        <v>238</v>
      </c>
      <c r="C7" s="248" t="s">
        <v>135</v>
      </c>
      <c r="D7" s="263">
        <v>230</v>
      </c>
      <c r="E7" s="248" t="s">
        <v>152</v>
      </c>
      <c r="F7" s="265" t="s">
        <v>667</v>
      </c>
      <c r="G7" s="98" t="s">
        <v>31</v>
      </c>
      <c r="H7" s="98" t="s">
        <v>32</v>
      </c>
      <c r="I7" s="98" t="s">
        <v>33</v>
      </c>
      <c r="J7" s="98" t="s">
        <v>38</v>
      </c>
      <c r="K7" s="98" t="s">
        <v>39</v>
      </c>
      <c r="L7" s="266">
        <v>44780</v>
      </c>
      <c r="M7" s="266">
        <v>44782</v>
      </c>
      <c r="N7" s="265">
        <f>1453.97/2</f>
        <v>726.98500000000001</v>
      </c>
      <c r="O7" s="265">
        <f>1453.97/2</f>
        <v>726.98500000000001</v>
      </c>
      <c r="P7" s="264">
        <f t="shared" si="0"/>
        <v>1453.97</v>
      </c>
      <c r="Q7" s="265">
        <v>7</v>
      </c>
      <c r="R7" s="267">
        <v>120</v>
      </c>
      <c r="S7" s="265">
        <v>0</v>
      </c>
      <c r="T7" s="267">
        <v>0</v>
      </c>
      <c r="U7" s="264">
        <f t="shared" si="1"/>
        <v>840</v>
      </c>
      <c r="V7" s="264">
        <f t="shared" si="2"/>
        <v>2293.9700000000003</v>
      </c>
      <c r="W7" s="264">
        <f t="shared" si="3"/>
        <v>2293.9700000000003</v>
      </c>
      <c r="X7" s="265"/>
    </row>
    <row r="8" spans="1:24" s="268" customFormat="1" ht="28.5" x14ac:dyDescent="0.2">
      <c r="A8" s="248" t="s">
        <v>250</v>
      </c>
      <c r="B8" s="248" t="s">
        <v>289</v>
      </c>
      <c r="C8" s="248" t="s">
        <v>340</v>
      </c>
      <c r="D8" s="263">
        <v>74</v>
      </c>
      <c r="E8" s="248" t="s">
        <v>536</v>
      </c>
      <c r="F8" s="272" t="s">
        <v>668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266">
        <v>44778</v>
      </c>
      <c r="M8" s="266">
        <v>44796</v>
      </c>
      <c r="N8" s="265">
        <f>1468.46/2</f>
        <v>734.23</v>
      </c>
      <c r="O8" s="265">
        <f>1468.46/2</f>
        <v>734.23</v>
      </c>
      <c r="P8" s="264">
        <f t="shared" si="0"/>
        <v>1468.46</v>
      </c>
      <c r="Q8" s="265">
        <v>19</v>
      </c>
      <c r="R8" s="267">
        <v>120</v>
      </c>
      <c r="S8" s="265">
        <v>0</v>
      </c>
      <c r="T8" s="267">
        <v>0</v>
      </c>
      <c r="U8" s="264">
        <f t="shared" si="1"/>
        <v>2280</v>
      </c>
      <c r="V8" s="264">
        <f t="shared" si="2"/>
        <v>3748.46</v>
      </c>
      <c r="W8" s="264">
        <f t="shared" si="3"/>
        <v>3748.46</v>
      </c>
      <c r="X8" s="265"/>
    </row>
    <row r="9" spans="1:24" s="268" customFormat="1" ht="15" x14ac:dyDescent="0.2">
      <c r="A9" s="248" t="s">
        <v>250</v>
      </c>
      <c r="B9" s="248" t="s">
        <v>250</v>
      </c>
      <c r="C9" s="248" t="s">
        <v>378</v>
      </c>
      <c r="D9" s="263">
        <v>0</v>
      </c>
      <c r="E9" s="248" t="s">
        <v>87</v>
      </c>
      <c r="F9" s="265" t="s">
        <v>666</v>
      </c>
      <c r="G9" s="98" t="s">
        <v>31</v>
      </c>
      <c r="H9" s="98" t="s">
        <v>32</v>
      </c>
      <c r="I9" s="98" t="s">
        <v>33</v>
      </c>
      <c r="J9" s="98" t="s">
        <v>111</v>
      </c>
      <c r="K9" s="98" t="s">
        <v>112</v>
      </c>
      <c r="L9" s="266">
        <v>44783</v>
      </c>
      <c r="M9" s="266">
        <v>44785</v>
      </c>
      <c r="N9" s="265">
        <f>1281.31/2</f>
        <v>640.65499999999997</v>
      </c>
      <c r="O9" s="265">
        <f>1281.31/2</f>
        <v>640.65499999999997</v>
      </c>
      <c r="P9" s="264">
        <f t="shared" si="0"/>
        <v>1281.31</v>
      </c>
      <c r="Q9" s="265">
        <v>0</v>
      </c>
      <c r="R9" s="267">
        <v>0</v>
      </c>
      <c r="S9" s="265">
        <v>0</v>
      </c>
      <c r="T9" s="267">
        <v>0</v>
      </c>
      <c r="U9" s="264">
        <f t="shared" si="1"/>
        <v>0</v>
      </c>
      <c r="V9" s="264">
        <f t="shared" si="2"/>
        <v>1281.31</v>
      </c>
      <c r="W9" s="264">
        <f t="shared" si="3"/>
        <v>1281.31</v>
      </c>
      <c r="X9" s="265"/>
    </row>
    <row r="10" spans="1:24" s="268" customFormat="1" ht="15" x14ac:dyDescent="0.2">
      <c r="A10" s="248" t="s">
        <v>597</v>
      </c>
      <c r="B10" s="248" t="s">
        <v>215</v>
      </c>
      <c r="C10" s="248" t="s">
        <v>48</v>
      </c>
      <c r="D10" s="263">
        <v>56</v>
      </c>
      <c r="E10" s="248" t="s">
        <v>615</v>
      </c>
      <c r="F10" s="265" t="s">
        <v>666</v>
      </c>
      <c r="G10" s="98" t="s">
        <v>31</v>
      </c>
      <c r="H10" s="98" t="s">
        <v>32</v>
      </c>
      <c r="I10" s="98" t="s">
        <v>33</v>
      </c>
      <c r="J10" s="98" t="s">
        <v>111</v>
      </c>
      <c r="K10" s="98" t="s">
        <v>112</v>
      </c>
      <c r="L10" s="266">
        <v>44783</v>
      </c>
      <c r="M10" s="266">
        <v>44785</v>
      </c>
      <c r="N10" s="265">
        <f>1494.92/2</f>
        <v>747.46</v>
      </c>
      <c r="O10" s="265">
        <f>1494.92/2</f>
        <v>747.46</v>
      </c>
      <c r="P10" s="264">
        <f t="shared" si="0"/>
        <v>1494.92</v>
      </c>
      <c r="Q10" s="265">
        <v>3</v>
      </c>
      <c r="R10" s="267">
        <v>120</v>
      </c>
      <c r="S10" s="265"/>
      <c r="T10" s="267"/>
      <c r="U10" s="264">
        <f t="shared" si="1"/>
        <v>360</v>
      </c>
      <c r="V10" s="264">
        <f t="shared" si="2"/>
        <v>1854.92</v>
      </c>
      <c r="W10" s="264">
        <f t="shared" si="3"/>
        <v>1854.92</v>
      </c>
      <c r="X10" s="265"/>
    </row>
    <row r="11" spans="1:24" s="268" customFormat="1" ht="15" x14ac:dyDescent="0.2">
      <c r="A11" s="248" t="s">
        <v>597</v>
      </c>
      <c r="B11" s="248" t="s">
        <v>461</v>
      </c>
      <c r="C11" s="248" t="s">
        <v>396</v>
      </c>
      <c r="D11" s="263">
        <v>349</v>
      </c>
      <c r="E11" s="248" t="s">
        <v>406</v>
      </c>
      <c r="F11" s="265" t="s">
        <v>669</v>
      </c>
      <c r="G11" s="98" t="s">
        <v>31</v>
      </c>
      <c r="H11" s="98" t="s">
        <v>32</v>
      </c>
      <c r="I11" s="98" t="s">
        <v>33</v>
      </c>
      <c r="J11" s="98" t="s">
        <v>195</v>
      </c>
      <c r="K11" s="98" t="s">
        <v>665</v>
      </c>
      <c r="L11" s="266">
        <v>44794</v>
      </c>
      <c r="M11" s="266">
        <v>44798</v>
      </c>
      <c r="N11" s="265">
        <f>4132.8/2</f>
        <v>2066.4</v>
      </c>
      <c r="O11" s="265">
        <f>4132.8/2</f>
        <v>2066.4</v>
      </c>
      <c r="P11" s="264">
        <f t="shared" si="0"/>
        <v>4132.8</v>
      </c>
      <c r="Q11" s="265">
        <v>5</v>
      </c>
      <c r="R11" s="267">
        <v>120</v>
      </c>
      <c r="S11" s="265">
        <v>0</v>
      </c>
      <c r="T11" s="267">
        <v>0</v>
      </c>
      <c r="U11" s="264">
        <f t="shared" si="1"/>
        <v>600</v>
      </c>
      <c r="V11" s="264">
        <f t="shared" si="2"/>
        <v>4732.8</v>
      </c>
      <c r="W11" s="264">
        <f t="shared" si="3"/>
        <v>4732.8</v>
      </c>
      <c r="X11" s="265"/>
    </row>
    <row r="12" spans="1:24" s="268" customFormat="1" ht="15" x14ac:dyDescent="0.2">
      <c r="A12" s="248" t="s">
        <v>372</v>
      </c>
      <c r="B12" s="248" t="s">
        <v>372</v>
      </c>
      <c r="C12" s="248" t="s">
        <v>75</v>
      </c>
      <c r="D12" s="263">
        <v>0</v>
      </c>
      <c r="E12" s="248" t="s">
        <v>88</v>
      </c>
      <c r="F12" s="265" t="s">
        <v>667</v>
      </c>
      <c r="G12" s="98" t="s">
        <v>31</v>
      </c>
      <c r="H12" s="98" t="s">
        <v>111</v>
      </c>
      <c r="I12" s="98" t="s">
        <v>112</v>
      </c>
      <c r="J12" s="98" t="s">
        <v>38</v>
      </c>
      <c r="K12" s="98" t="s">
        <v>39</v>
      </c>
      <c r="L12" s="266">
        <v>44781</v>
      </c>
      <c r="M12" s="266">
        <v>44782</v>
      </c>
      <c r="N12" s="265">
        <f>(1670.82+834.23)/2</f>
        <v>1252.5250000000001</v>
      </c>
      <c r="O12" s="265">
        <f>(1670.82+834.23)/2</f>
        <v>1252.5250000000001</v>
      </c>
      <c r="P12" s="264">
        <f>SUM(N12:O12)</f>
        <v>2505.0500000000002</v>
      </c>
      <c r="Q12" s="265">
        <v>0</v>
      </c>
      <c r="R12" s="267">
        <v>0</v>
      </c>
      <c r="S12" s="265">
        <v>0</v>
      </c>
      <c r="T12" s="267">
        <v>0</v>
      </c>
      <c r="U12" s="264">
        <f t="shared" si="1"/>
        <v>0</v>
      </c>
      <c r="V12" s="264">
        <f t="shared" si="2"/>
        <v>2505.0500000000002</v>
      </c>
      <c r="W12" s="264">
        <f t="shared" si="3"/>
        <v>2505.0500000000002</v>
      </c>
      <c r="X12" s="265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43009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248" t="s">
        <v>372</v>
      </c>
      <c r="B5" s="248" t="s">
        <v>398</v>
      </c>
      <c r="C5" s="248" t="s">
        <v>266</v>
      </c>
      <c r="D5" s="269">
        <v>284</v>
      </c>
      <c r="E5" s="277" t="s">
        <v>674</v>
      </c>
      <c r="F5" s="271" t="s">
        <v>671</v>
      </c>
      <c r="G5" s="98" t="s">
        <v>31</v>
      </c>
      <c r="H5" s="98" t="s">
        <v>32</v>
      </c>
      <c r="I5" s="98" t="s">
        <v>33</v>
      </c>
      <c r="J5" s="273" t="s">
        <v>659</v>
      </c>
      <c r="K5" s="98" t="s">
        <v>660</v>
      </c>
      <c r="L5" s="266">
        <v>44823</v>
      </c>
      <c r="M5" s="266">
        <v>44827</v>
      </c>
      <c r="N5" s="267">
        <f>1212.43/2</f>
        <v>606.21500000000003</v>
      </c>
      <c r="O5" s="267">
        <f>1212.43/2</f>
        <v>606.21500000000003</v>
      </c>
      <c r="P5" s="270">
        <f>SUM(N5:O5)</f>
        <v>1212.43</v>
      </c>
      <c r="Q5" s="271">
        <v>5</v>
      </c>
      <c r="R5" s="267">
        <v>120</v>
      </c>
      <c r="S5" s="271">
        <v>0</v>
      </c>
      <c r="T5" s="267">
        <v>0</v>
      </c>
      <c r="U5" s="270">
        <f>Q5*R5+S5*T5</f>
        <v>600</v>
      </c>
      <c r="V5" s="270">
        <f>P5+U5</f>
        <v>1812.43</v>
      </c>
      <c r="W5" s="270">
        <f>V5</f>
        <v>1812.43</v>
      </c>
      <c r="X5" s="271"/>
    </row>
    <row r="6" spans="1:24" s="268" customFormat="1" ht="15" x14ac:dyDescent="0.2">
      <c r="A6" s="248" t="s">
        <v>250</v>
      </c>
      <c r="B6" s="248" t="s">
        <v>289</v>
      </c>
      <c r="C6" s="248" t="s">
        <v>168</v>
      </c>
      <c r="D6" s="269">
        <v>127</v>
      </c>
      <c r="E6" s="277" t="s">
        <v>675</v>
      </c>
      <c r="F6" s="271" t="s">
        <v>671</v>
      </c>
      <c r="G6" s="98" t="s">
        <v>31</v>
      </c>
      <c r="H6" s="98" t="s">
        <v>32</v>
      </c>
      <c r="I6" s="98" t="s">
        <v>33</v>
      </c>
      <c r="J6" s="273" t="s">
        <v>659</v>
      </c>
      <c r="K6" s="98" t="s">
        <v>660</v>
      </c>
      <c r="L6" s="266">
        <v>44823</v>
      </c>
      <c r="M6" s="266">
        <v>44827</v>
      </c>
      <c r="N6" s="267">
        <f>1212.43/2</f>
        <v>606.21500000000003</v>
      </c>
      <c r="O6" s="267">
        <f>1212.43/2</f>
        <v>606.21500000000003</v>
      </c>
      <c r="P6" s="270">
        <f t="shared" ref="P6:P8" si="0">SUM(N6:O6)</f>
        <v>1212.43</v>
      </c>
      <c r="Q6" s="271">
        <v>5</v>
      </c>
      <c r="R6" s="267">
        <v>120</v>
      </c>
      <c r="S6" s="271">
        <v>0</v>
      </c>
      <c r="T6" s="267">
        <v>0</v>
      </c>
      <c r="U6" s="270">
        <f t="shared" ref="U6:U8" si="1">Q6*R6+S6*T6</f>
        <v>600</v>
      </c>
      <c r="V6" s="270">
        <f t="shared" ref="V6:V8" si="2">P6+U6</f>
        <v>1812.43</v>
      </c>
      <c r="W6" s="270">
        <f t="shared" ref="W6:W8" si="3">V6</f>
        <v>1812.43</v>
      </c>
      <c r="X6" s="271"/>
    </row>
    <row r="7" spans="1:24" s="268" customFormat="1" ht="15" x14ac:dyDescent="0.2">
      <c r="A7" s="248" t="s">
        <v>250</v>
      </c>
      <c r="B7" s="248" t="s">
        <v>258</v>
      </c>
      <c r="C7" s="248" t="s">
        <v>609</v>
      </c>
      <c r="D7" s="269">
        <v>372</v>
      </c>
      <c r="E7" s="277" t="s">
        <v>676</v>
      </c>
      <c r="F7" s="271" t="s">
        <v>672</v>
      </c>
      <c r="G7" s="98" t="s">
        <v>31</v>
      </c>
      <c r="H7" s="98" t="s">
        <v>32</v>
      </c>
      <c r="I7" s="98" t="s">
        <v>33</v>
      </c>
      <c r="J7" s="273" t="s">
        <v>38</v>
      </c>
      <c r="K7" s="273" t="s">
        <v>39</v>
      </c>
      <c r="L7" s="266">
        <v>44825</v>
      </c>
      <c r="M7" s="266">
        <v>44826</v>
      </c>
      <c r="N7" s="267">
        <v>1453.97</v>
      </c>
      <c r="O7" s="267">
        <v>2364.62</v>
      </c>
      <c r="P7" s="270">
        <f t="shared" si="0"/>
        <v>3818.59</v>
      </c>
      <c r="Q7" s="271">
        <v>2</v>
      </c>
      <c r="R7" s="267">
        <v>120</v>
      </c>
      <c r="S7" s="271">
        <v>0</v>
      </c>
      <c r="T7" s="267">
        <v>0</v>
      </c>
      <c r="U7" s="270">
        <f t="shared" si="1"/>
        <v>240</v>
      </c>
      <c r="V7" s="270">
        <f t="shared" si="2"/>
        <v>4058.59</v>
      </c>
      <c r="W7" s="270">
        <f t="shared" si="3"/>
        <v>4058.59</v>
      </c>
      <c r="X7" s="271"/>
    </row>
    <row r="8" spans="1:24" s="268" customFormat="1" ht="15" x14ac:dyDescent="0.2">
      <c r="A8" s="248" t="s">
        <v>250</v>
      </c>
      <c r="B8" s="248" t="s">
        <v>250</v>
      </c>
      <c r="C8" s="248" t="s">
        <v>670</v>
      </c>
      <c r="D8" s="269">
        <v>383</v>
      </c>
      <c r="E8" s="277" t="s">
        <v>677</v>
      </c>
      <c r="F8" s="272" t="s">
        <v>673</v>
      </c>
      <c r="G8" s="98" t="s">
        <v>31</v>
      </c>
      <c r="H8" s="98" t="s">
        <v>32</v>
      </c>
      <c r="I8" s="98" t="s">
        <v>33</v>
      </c>
      <c r="J8" s="273" t="s">
        <v>38</v>
      </c>
      <c r="K8" s="273" t="s">
        <v>39</v>
      </c>
      <c r="L8" s="266">
        <v>44832</v>
      </c>
      <c r="M8" s="266">
        <v>44833</v>
      </c>
      <c r="N8" s="267">
        <f>2113.03/2</f>
        <v>1056.5150000000001</v>
      </c>
      <c r="O8" s="267">
        <f>2113.03/2</f>
        <v>1056.5150000000001</v>
      </c>
      <c r="P8" s="270">
        <f t="shared" si="0"/>
        <v>2113.0300000000002</v>
      </c>
      <c r="Q8" s="271">
        <v>2</v>
      </c>
      <c r="R8" s="267">
        <v>120</v>
      </c>
      <c r="S8" s="271">
        <v>0</v>
      </c>
      <c r="T8" s="267">
        <v>0</v>
      </c>
      <c r="U8" s="270">
        <f t="shared" si="1"/>
        <v>240</v>
      </c>
      <c r="V8" s="270">
        <f t="shared" si="2"/>
        <v>2353.0300000000002</v>
      </c>
      <c r="W8" s="270">
        <f t="shared" si="3"/>
        <v>2353.0300000000002</v>
      </c>
      <c r="X8" s="271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248" t="s">
        <v>250</v>
      </c>
      <c r="B5" s="248" t="s">
        <v>250</v>
      </c>
      <c r="C5" s="248" t="s">
        <v>670</v>
      </c>
      <c r="D5" s="274">
        <v>383</v>
      </c>
      <c r="E5" s="277" t="s">
        <v>677</v>
      </c>
      <c r="F5" s="276" t="s">
        <v>678</v>
      </c>
      <c r="G5" s="98" t="s">
        <v>31</v>
      </c>
      <c r="H5" s="98" t="s">
        <v>32</v>
      </c>
      <c r="I5" s="98" t="s">
        <v>33</v>
      </c>
      <c r="J5" s="281" t="s">
        <v>106</v>
      </c>
      <c r="K5" s="281" t="s">
        <v>107</v>
      </c>
      <c r="L5" s="266">
        <v>44853</v>
      </c>
      <c r="M5" s="266">
        <v>44854</v>
      </c>
      <c r="N5" s="267">
        <f>1104.62/2</f>
        <v>552.30999999999995</v>
      </c>
      <c r="O5" s="267">
        <f>1104.62/2</f>
        <v>552.30999999999995</v>
      </c>
      <c r="P5" s="275">
        <f>SUM(N5:O5)</f>
        <v>1104.6199999999999</v>
      </c>
      <c r="Q5" s="276">
        <v>2</v>
      </c>
      <c r="R5" s="267">
        <v>120</v>
      </c>
      <c r="S5" s="276">
        <v>0</v>
      </c>
      <c r="T5" s="267">
        <v>0</v>
      </c>
      <c r="U5" s="275">
        <f>Q5*R5+S5*T5</f>
        <v>240</v>
      </c>
      <c r="V5" s="275">
        <f>P5+U5</f>
        <v>1344.62</v>
      </c>
      <c r="W5" s="275">
        <f>V5</f>
        <v>1344.62</v>
      </c>
      <c r="X5" s="276"/>
    </row>
    <row r="6" spans="1:24" s="268" customFormat="1" ht="15" x14ac:dyDescent="0.2">
      <c r="A6" s="285" t="s">
        <v>250</v>
      </c>
      <c r="B6" s="248" t="s">
        <v>322</v>
      </c>
      <c r="C6" s="248" t="s">
        <v>323</v>
      </c>
      <c r="D6" s="274">
        <v>87</v>
      </c>
      <c r="E6" s="252" t="s">
        <v>648</v>
      </c>
      <c r="F6" s="276" t="s">
        <v>678</v>
      </c>
      <c r="G6" s="98" t="s">
        <v>31</v>
      </c>
      <c r="H6" s="98" t="s">
        <v>32</v>
      </c>
      <c r="I6" s="98" t="s">
        <v>33</v>
      </c>
      <c r="J6" s="281" t="s">
        <v>106</v>
      </c>
      <c r="K6" s="281" t="s">
        <v>107</v>
      </c>
      <c r="L6" s="266">
        <v>44853</v>
      </c>
      <c r="M6" s="266">
        <v>44854</v>
      </c>
      <c r="N6" s="267">
        <f>1104.62/2</f>
        <v>552.30999999999995</v>
      </c>
      <c r="O6" s="267">
        <f t="shared" ref="O6:O7" si="0">1104.62/2</f>
        <v>552.30999999999995</v>
      </c>
      <c r="P6" s="275">
        <f t="shared" ref="P6:P7" si="1">SUM(N6:O6)</f>
        <v>1104.6199999999999</v>
      </c>
      <c r="Q6" s="276">
        <v>2</v>
      </c>
      <c r="R6" s="267">
        <v>120</v>
      </c>
      <c r="S6" s="276">
        <v>0</v>
      </c>
      <c r="T6" s="267">
        <v>0</v>
      </c>
      <c r="U6" s="275">
        <f t="shared" ref="U6:U7" si="2">Q6*R6+S6*T6</f>
        <v>240</v>
      </c>
      <c r="V6" s="275">
        <f t="shared" ref="V6:V7" si="3">P6+U6</f>
        <v>1344.62</v>
      </c>
      <c r="W6" s="275">
        <f t="shared" ref="W6:W7" si="4">V6</f>
        <v>1344.62</v>
      </c>
      <c r="X6" s="276"/>
    </row>
    <row r="7" spans="1:24" s="268" customFormat="1" ht="15" x14ac:dyDescent="0.2">
      <c r="A7" s="248" t="s">
        <v>250</v>
      </c>
      <c r="B7" s="248" t="s">
        <v>289</v>
      </c>
      <c r="C7" s="248" t="s">
        <v>236</v>
      </c>
      <c r="D7" s="274">
        <v>82</v>
      </c>
      <c r="E7" s="281" t="s">
        <v>679</v>
      </c>
      <c r="F7" s="276" t="s">
        <v>678</v>
      </c>
      <c r="G7" s="98" t="s">
        <v>31</v>
      </c>
      <c r="H7" s="98" t="s">
        <v>32</v>
      </c>
      <c r="I7" s="98" t="s">
        <v>33</v>
      </c>
      <c r="J7" s="281" t="s">
        <v>106</v>
      </c>
      <c r="K7" s="281" t="s">
        <v>107</v>
      </c>
      <c r="L7" s="266">
        <v>44853</v>
      </c>
      <c r="M7" s="266">
        <v>44854</v>
      </c>
      <c r="N7" s="267">
        <f>1104.62/2</f>
        <v>552.30999999999995</v>
      </c>
      <c r="O7" s="267">
        <f t="shared" si="0"/>
        <v>552.30999999999995</v>
      </c>
      <c r="P7" s="275">
        <f t="shared" si="1"/>
        <v>1104.6199999999999</v>
      </c>
      <c r="Q7" s="276">
        <v>2</v>
      </c>
      <c r="R7" s="267">
        <v>120</v>
      </c>
      <c r="S7" s="276">
        <v>0</v>
      </c>
      <c r="T7" s="267">
        <v>0</v>
      </c>
      <c r="U7" s="275">
        <f t="shared" si="2"/>
        <v>240</v>
      </c>
      <c r="V7" s="275">
        <f t="shared" si="3"/>
        <v>1344.62</v>
      </c>
      <c r="W7" s="275">
        <f t="shared" si="4"/>
        <v>1344.62</v>
      </c>
      <c r="X7" s="276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248" t="s">
        <v>229</v>
      </c>
      <c r="B5" s="248" t="s">
        <v>301</v>
      </c>
      <c r="C5" s="248" t="s">
        <v>608</v>
      </c>
      <c r="D5" s="278">
        <v>355</v>
      </c>
      <c r="E5" s="248" t="s">
        <v>313</v>
      </c>
      <c r="F5" s="248" t="s">
        <v>681</v>
      </c>
      <c r="G5" s="98" t="s">
        <v>31</v>
      </c>
      <c r="H5" s="98" t="s">
        <v>32</v>
      </c>
      <c r="I5" s="98" t="s">
        <v>33</v>
      </c>
      <c r="J5" s="285" t="s">
        <v>38</v>
      </c>
      <c r="K5" s="285" t="s">
        <v>39</v>
      </c>
      <c r="L5" s="266">
        <v>44881</v>
      </c>
      <c r="M5" s="266">
        <v>44884</v>
      </c>
      <c r="N5" s="267">
        <v>2113.0300000000002</v>
      </c>
      <c r="O5" s="267">
        <v>2364.62</v>
      </c>
      <c r="P5" s="267">
        <f>SUM(N5:O5)</f>
        <v>4477.6499999999996</v>
      </c>
      <c r="Q5" s="280">
        <v>4</v>
      </c>
      <c r="R5" s="267">
        <v>120</v>
      </c>
      <c r="S5" s="280">
        <v>0</v>
      </c>
      <c r="T5" s="267">
        <v>0</v>
      </c>
      <c r="U5" s="279">
        <f>Q5*R5+S5*T5</f>
        <v>480</v>
      </c>
      <c r="V5" s="279">
        <f>P5+U5</f>
        <v>4957.6499999999996</v>
      </c>
      <c r="W5" s="279">
        <f>V5</f>
        <v>4957.6499999999996</v>
      </c>
      <c r="X5" s="280"/>
    </row>
    <row r="6" spans="1:24" s="268" customFormat="1" ht="15" x14ac:dyDescent="0.2">
      <c r="A6" s="248" t="s">
        <v>229</v>
      </c>
      <c r="B6" s="248" t="s">
        <v>215</v>
      </c>
      <c r="C6" s="248" t="s">
        <v>48</v>
      </c>
      <c r="D6" s="278">
        <v>56</v>
      </c>
      <c r="E6" s="248" t="s">
        <v>615</v>
      </c>
      <c r="F6" s="248" t="s">
        <v>680</v>
      </c>
      <c r="G6" s="98" t="s">
        <v>31</v>
      </c>
      <c r="H6" s="98" t="s">
        <v>32</v>
      </c>
      <c r="I6" s="98" t="s">
        <v>33</v>
      </c>
      <c r="J6" s="285" t="s">
        <v>425</v>
      </c>
      <c r="K6" s="285" t="s">
        <v>426</v>
      </c>
      <c r="L6" s="266">
        <v>44872</v>
      </c>
      <c r="M6" s="266">
        <v>44875</v>
      </c>
      <c r="N6" s="267">
        <f>1908.15/2</f>
        <v>954.07500000000005</v>
      </c>
      <c r="O6" s="267">
        <f>1908.15/2</f>
        <v>954.07500000000005</v>
      </c>
      <c r="P6" s="267">
        <f t="shared" ref="P6:P11" si="0">SUM(N6:O6)</f>
        <v>1908.15</v>
      </c>
      <c r="Q6" s="280">
        <v>10</v>
      </c>
      <c r="R6" s="267">
        <v>120</v>
      </c>
      <c r="S6" s="280">
        <v>0</v>
      </c>
      <c r="T6" s="267">
        <v>0</v>
      </c>
      <c r="U6" s="279">
        <f t="shared" ref="U6:U11" si="1">Q6*R6+S6*T6</f>
        <v>1200</v>
      </c>
      <c r="V6" s="279">
        <f t="shared" ref="V6:V11" si="2">P6+U6</f>
        <v>3108.15</v>
      </c>
      <c r="W6" s="279">
        <f t="shared" ref="W6:W11" si="3">V6</f>
        <v>3108.15</v>
      </c>
      <c r="X6" s="280"/>
    </row>
    <row r="7" spans="1:24" s="268" customFormat="1" ht="15" x14ac:dyDescent="0.2">
      <c r="A7" s="248" t="s">
        <v>229</v>
      </c>
      <c r="B7" s="248" t="s">
        <v>229</v>
      </c>
      <c r="C7" s="248" t="s">
        <v>412</v>
      </c>
      <c r="D7" s="278">
        <v>0</v>
      </c>
      <c r="E7" s="248" t="s">
        <v>561</v>
      </c>
      <c r="F7" s="248" t="s">
        <v>681</v>
      </c>
      <c r="G7" s="98" t="s">
        <v>31</v>
      </c>
      <c r="H7" s="98" t="s">
        <v>32</v>
      </c>
      <c r="I7" s="98" t="s">
        <v>33</v>
      </c>
      <c r="J7" s="285" t="s">
        <v>38</v>
      </c>
      <c r="K7" s="285" t="s">
        <v>39</v>
      </c>
      <c r="L7" s="266">
        <v>44881</v>
      </c>
      <c r="M7" s="266">
        <v>44884</v>
      </c>
      <c r="N7" s="267">
        <v>2113.0300000000002</v>
      </c>
      <c r="O7" s="267">
        <v>2364.62</v>
      </c>
      <c r="P7" s="267">
        <f t="shared" si="0"/>
        <v>4477.6499999999996</v>
      </c>
      <c r="Q7" s="280">
        <v>0</v>
      </c>
      <c r="R7" s="267">
        <v>0</v>
      </c>
      <c r="S7" s="280">
        <v>0</v>
      </c>
      <c r="T7" s="267">
        <v>0</v>
      </c>
      <c r="U7" s="279">
        <f t="shared" si="1"/>
        <v>0</v>
      </c>
      <c r="V7" s="279">
        <f t="shared" si="2"/>
        <v>4477.6499999999996</v>
      </c>
      <c r="W7" s="279">
        <f t="shared" si="3"/>
        <v>4477.6499999999996</v>
      </c>
      <c r="X7" s="280"/>
    </row>
    <row r="8" spans="1:24" s="268" customFormat="1" ht="15" x14ac:dyDescent="0.2">
      <c r="A8" s="285" t="s">
        <v>250</v>
      </c>
      <c r="B8" s="248" t="s">
        <v>212</v>
      </c>
      <c r="C8" s="248" t="s">
        <v>397</v>
      </c>
      <c r="D8" s="278">
        <v>345</v>
      </c>
      <c r="E8" s="252" t="s">
        <v>650</v>
      </c>
      <c r="F8" s="248" t="s">
        <v>682</v>
      </c>
      <c r="G8" s="98" t="s">
        <v>31</v>
      </c>
      <c r="H8" s="98" t="s">
        <v>32</v>
      </c>
      <c r="I8" s="98" t="s">
        <v>33</v>
      </c>
      <c r="J8" s="285" t="s">
        <v>38</v>
      </c>
      <c r="K8" s="285" t="s">
        <v>39</v>
      </c>
      <c r="L8" s="266">
        <v>44873</v>
      </c>
      <c r="M8" s="266">
        <v>44873</v>
      </c>
      <c r="N8" s="267">
        <f>2930.51/2</f>
        <v>1465.2550000000001</v>
      </c>
      <c r="O8" s="267">
        <f>2930.51/2</f>
        <v>1465.2550000000001</v>
      </c>
      <c r="P8" s="267">
        <f t="shared" si="0"/>
        <v>2930.51</v>
      </c>
      <c r="Q8" s="280">
        <v>1</v>
      </c>
      <c r="R8" s="267">
        <v>120</v>
      </c>
      <c r="S8" s="280">
        <v>0</v>
      </c>
      <c r="T8" s="267">
        <v>0</v>
      </c>
      <c r="U8" s="279">
        <f t="shared" si="1"/>
        <v>120</v>
      </c>
      <c r="V8" s="279">
        <f t="shared" si="2"/>
        <v>3050.51</v>
      </c>
      <c r="W8" s="279">
        <f t="shared" si="3"/>
        <v>3050.51</v>
      </c>
      <c r="X8" s="280"/>
    </row>
    <row r="9" spans="1:24" s="268" customFormat="1" ht="15" x14ac:dyDescent="0.2">
      <c r="A9" s="248" t="s">
        <v>372</v>
      </c>
      <c r="B9" s="248" t="s">
        <v>238</v>
      </c>
      <c r="C9" s="248" t="s">
        <v>135</v>
      </c>
      <c r="D9" s="278">
        <v>230</v>
      </c>
      <c r="E9" s="248" t="s">
        <v>152</v>
      </c>
      <c r="F9" s="248" t="s">
        <v>682</v>
      </c>
      <c r="G9" s="98" t="s">
        <v>31</v>
      </c>
      <c r="H9" s="98" t="s">
        <v>32</v>
      </c>
      <c r="I9" s="98" t="s">
        <v>33</v>
      </c>
      <c r="J9" s="285" t="s">
        <v>38</v>
      </c>
      <c r="K9" s="285" t="s">
        <v>39</v>
      </c>
      <c r="L9" s="266">
        <v>44873</v>
      </c>
      <c r="M9" s="266">
        <v>44873</v>
      </c>
      <c r="N9" s="267">
        <f>3433/2</f>
        <v>1716.5</v>
      </c>
      <c r="O9" s="267">
        <f>3433/2</f>
        <v>1716.5</v>
      </c>
      <c r="P9" s="267">
        <f t="shared" si="0"/>
        <v>3433</v>
      </c>
      <c r="Q9" s="280">
        <v>1</v>
      </c>
      <c r="R9" s="267">
        <v>120</v>
      </c>
      <c r="S9" s="280">
        <v>0</v>
      </c>
      <c r="T9" s="267">
        <v>0</v>
      </c>
      <c r="U9" s="279">
        <f t="shared" si="1"/>
        <v>120</v>
      </c>
      <c r="V9" s="279">
        <f t="shared" si="2"/>
        <v>3553</v>
      </c>
      <c r="W9" s="279">
        <f t="shared" si="3"/>
        <v>3553</v>
      </c>
      <c r="X9" s="280"/>
    </row>
    <row r="10" spans="1:24" s="268" customFormat="1" ht="15" x14ac:dyDescent="0.2">
      <c r="A10" s="285" t="s">
        <v>250</v>
      </c>
      <c r="B10" s="248" t="s">
        <v>212</v>
      </c>
      <c r="C10" s="248" t="s">
        <v>612</v>
      </c>
      <c r="D10" s="278">
        <v>365</v>
      </c>
      <c r="E10" s="285" t="s">
        <v>52</v>
      </c>
      <c r="F10" s="248" t="s">
        <v>683</v>
      </c>
      <c r="G10" s="98" t="s">
        <v>31</v>
      </c>
      <c r="H10" s="98" t="s">
        <v>32</v>
      </c>
      <c r="I10" s="98" t="s">
        <v>33</v>
      </c>
      <c r="J10" s="285" t="s">
        <v>32</v>
      </c>
      <c r="K10" s="285" t="s">
        <v>390</v>
      </c>
      <c r="L10" s="266">
        <v>44881</v>
      </c>
      <c r="M10" s="266">
        <v>44882</v>
      </c>
      <c r="N10" s="267">
        <f>2265.36/2</f>
        <v>1132.68</v>
      </c>
      <c r="O10" s="267">
        <f>2265.36/2</f>
        <v>1132.68</v>
      </c>
      <c r="P10" s="267">
        <f t="shared" si="0"/>
        <v>2265.36</v>
      </c>
      <c r="Q10" s="280">
        <v>2</v>
      </c>
      <c r="R10" s="267">
        <v>120</v>
      </c>
      <c r="S10" s="280">
        <v>0</v>
      </c>
      <c r="T10" s="267">
        <v>0</v>
      </c>
      <c r="U10" s="279">
        <f t="shared" si="1"/>
        <v>240</v>
      </c>
      <c r="V10" s="279">
        <f t="shared" si="2"/>
        <v>2505.36</v>
      </c>
      <c r="W10" s="279">
        <f t="shared" si="3"/>
        <v>2505.36</v>
      </c>
      <c r="X10" s="280"/>
    </row>
    <row r="11" spans="1:24" s="268" customFormat="1" ht="15" x14ac:dyDescent="0.2">
      <c r="A11" s="285" t="s">
        <v>250</v>
      </c>
      <c r="B11" s="248" t="s">
        <v>212</v>
      </c>
      <c r="C11" s="248" t="s">
        <v>270</v>
      </c>
      <c r="D11" s="278" t="s">
        <v>173</v>
      </c>
      <c r="E11" s="252" t="s">
        <v>599</v>
      </c>
      <c r="F11" s="248" t="s">
        <v>683</v>
      </c>
      <c r="G11" s="98" t="s">
        <v>31</v>
      </c>
      <c r="H11" s="98" t="s">
        <v>32</v>
      </c>
      <c r="I11" s="98" t="s">
        <v>33</v>
      </c>
      <c r="J11" s="285" t="s">
        <v>32</v>
      </c>
      <c r="K11" s="285" t="s">
        <v>390</v>
      </c>
      <c r="L11" s="266">
        <v>44881</v>
      </c>
      <c r="M11" s="266">
        <v>44882</v>
      </c>
      <c r="N11" s="267">
        <f>2265.36/2</f>
        <v>1132.68</v>
      </c>
      <c r="O11" s="267">
        <f>2265.36/2</f>
        <v>1132.68</v>
      </c>
      <c r="P11" s="267">
        <f t="shared" si="0"/>
        <v>2265.36</v>
      </c>
      <c r="Q11" s="280">
        <v>2</v>
      </c>
      <c r="R11" s="267">
        <v>120</v>
      </c>
      <c r="S11" s="280">
        <v>0</v>
      </c>
      <c r="T11" s="267">
        <v>0</v>
      </c>
      <c r="U11" s="279">
        <f t="shared" si="1"/>
        <v>240</v>
      </c>
      <c r="V11" s="279">
        <f t="shared" si="2"/>
        <v>2505.36</v>
      </c>
      <c r="W11" s="279">
        <f t="shared" si="3"/>
        <v>2505.36</v>
      </c>
      <c r="X11" s="280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248" t="s">
        <v>229</v>
      </c>
      <c r="B5" s="248" t="s">
        <v>227</v>
      </c>
      <c r="C5" s="289" t="s">
        <v>581</v>
      </c>
      <c r="D5" s="282">
        <v>357</v>
      </c>
      <c r="E5" s="289" t="s">
        <v>262</v>
      </c>
      <c r="F5" s="289" t="s">
        <v>686</v>
      </c>
      <c r="G5" s="98" t="s">
        <v>31</v>
      </c>
      <c r="H5" s="98" t="s">
        <v>32</v>
      </c>
      <c r="I5" s="98" t="s">
        <v>33</v>
      </c>
      <c r="J5" s="285" t="s">
        <v>38</v>
      </c>
      <c r="K5" s="285" t="s">
        <v>39</v>
      </c>
      <c r="L5" s="266">
        <v>44908</v>
      </c>
      <c r="M5" s="266">
        <v>44910</v>
      </c>
      <c r="N5" s="267">
        <f>1670.62/2</f>
        <v>835.31</v>
      </c>
      <c r="O5" s="267">
        <f>1670.62/2</f>
        <v>835.31</v>
      </c>
      <c r="P5" s="267">
        <f>SUM(N5:O5)</f>
        <v>1670.62</v>
      </c>
      <c r="Q5" s="284">
        <v>3</v>
      </c>
      <c r="R5" s="267">
        <v>120</v>
      </c>
      <c r="S5" s="284">
        <v>0</v>
      </c>
      <c r="T5" s="267">
        <v>0</v>
      </c>
      <c r="U5" s="283">
        <f>Q5*R5+S5*T5</f>
        <v>360</v>
      </c>
      <c r="V5" s="283">
        <f>P5+U5</f>
        <v>2030.62</v>
      </c>
      <c r="W5" s="283">
        <f>V5</f>
        <v>2030.62</v>
      </c>
      <c r="X5" s="284"/>
    </row>
    <row r="6" spans="1:24" s="268" customFormat="1" ht="15" x14ac:dyDescent="0.2">
      <c r="A6" s="248" t="s">
        <v>250</v>
      </c>
      <c r="B6" s="248" t="s">
        <v>234</v>
      </c>
      <c r="C6" s="289" t="s">
        <v>450</v>
      </c>
      <c r="D6" s="282">
        <v>300</v>
      </c>
      <c r="E6" s="289" t="s">
        <v>687</v>
      </c>
      <c r="F6" s="289" t="s">
        <v>685</v>
      </c>
      <c r="G6" s="98" t="s">
        <v>31</v>
      </c>
      <c r="H6" s="98" t="s">
        <v>32</v>
      </c>
      <c r="I6" s="98" t="s">
        <v>33</v>
      </c>
      <c r="J6" s="289" t="s">
        <v>32</v>
      </c>
      <c r="K6" s="289" t="s">
        <v>390</v>
      </c>
      <c r="L6" s="266">
        <v>44899</v>
      </c>
      <c r="M6" s="266">
        <v>44901</v>
      </c>
      <c r="N6" s="267">
        <f>3264.36/2</f>
        <v>1632.18</v>
      </c>
      <c r="O6" s="267">
        <f>3264.36/2</f>
        <v>1632.18</v>
      </c>
      <c r="P6" s="267">
        <f t="shared" ref="P6:P7" si="0">SUM(N6:O6)</f>
        <v>3264.36</v>
      </c>
      <c r="Q6" s="284">
        <v>3</v>
      </c>
      <c r="R6" s="267">
        <v>120</v>
      </c>
      <c r="S6" s="284">
        <v>0</v>
      </c>
      <c r="T6" s="267">
        <v>0</v>
      </c>
      <c r="U6" s="283">
        <f t="shared" ref="U6:U7" si="1">Q6*R6+S6*T6</f>
        <v>360</v>
      </c>
      <c r="V6" s="283">
        <f t="shared" ref="V6:V7" si="2">P6+U6</f>
        <v>3624.36</v>
      </c>
      <c r="W6" s="283">
        <f t="shared" ref="W6:W7" si="3">V6</f>
        <v>3624.36</v>
      </c>
      <c r="X6" s="284"/>
    </row>
    <row r="7" spans="1:24" s="268" customFormat="1" ht="15" x14ac:dyDescent="0.2">
      <c r="A7" s="248" t="s">
        <v>250</v>
      </c>
      <c r="B7" s="248" t="s">
        <v>250</v>
      </c>
      <c r="C7" s="248" t="s">
        <v>378</v>
      </c>
      <c r="D7" s="282"/>
      <c r="E7" s="289" t="s">
        <v>55</v>
      </c>
      <c r="F7" s="289" t="s">
        <v>684</v>
      </c>
      <c r="G7" s="98" t="s">
        <v>31</v>
      </c>
      <c r="H7" s="98" t="s">
        <v>32</v>
      </c>
      <c r="I7" s="98" t="s">
        <v>33</v>
      </c>
      <c r="J7" s="289" t="s">
        <v>121</v>
      </c>
      <c r="K7" s="289" t="s">
        <v>62</v>
      </c>
      <c r="L7" s="266">
        <v>44894</v>
      </c>
      <c r="M7" s="266">
        <v>44898</v>
      </c>
      <c r="N7" s="267">
        <f>1879.42/2</f>
        <v>939.71</v>
      </c>
      <c r="O7" s="267">
        <f>1879.42/2</f>
        <v>939.71</v>
      </c>
      <c r="P7" s="267">
        <f t="shared" si="0"/>
        <v>1879.42</v>
      </c>
      <c r="Q7" s="284">
        <v>0</v>
      </c>
      <c r="R7" s="267">
        <v>0</v>
      </c>
      <c r="S7" s="284">
        <v>0</v>
      </c>
      <c r="T7" s="267">
        <v>0</v>
      </c>
      <c r="U7" s="283">
        <f t="shared" si="1"/>
        <v>0</v>
      </c>
      <c r="V7" s="283">
        <f t="shared" si="2"/>
        <v>1879.42</v>
      </c>
      <c r="W7" s="283">
        <f t="shared" si="3"/>
        <v>1879.42</v>
      </c>
      <c r="X7" s="28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E37" sqref="E3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248"/>
      <c r="B5" s="248"/>
      <c r="C5" s="289"/>
      <c r="D5" s="286"/>
      <c r="E5" s="289"/>
      <c r="F5" s="289"/>
      <c r="G5" s="98"/>
      <c r="H5" s="98"/>
      <c r="I5" s="98"/>
      <c r="J5" s="285"/>
      <c r="K5" s="285"/>
      <c r="L5" s="266"/>
      <c r="M5" s="266"/>
      <c r="N5" s="267"/>
      <c r="O5" s="267"/>
      <c r="P5" s="267">
        <f>SUM(N5:O5)</f>
        <v>0</v>
      </c>
      <c r="Q5" s="288">
        <v>0</v>
      </c>
      <c r="R5" s="267">
        <v>0</v>
      </c>
      <c r="S5" s="288">
        <v>0</v>
      </c>
      <c r="T5" s="267">
        <v>0</v>
      </c>
      <c r="U5" s="287">
        <f>Q5*R5+S5*T5</f>
        <v>0</v>
      </c>
      <c r="V5" s="287">
        <f>P5+U5</f>
        <v>0</v>
      </c>
      <c r="W5" s="287">
        <f>V5</f>
        <v>0</v>
      </c>
      <c r="X5" s="288"/>
    </row>
    <row r="6" spans="1:24" s="268" customFormat="1" ht="15" x14ac:dyDescent="0.2">
      <c r="A6" s="248"/>
      <c r="B6" s="248"/>
      <c r="C6" s="289"/>
      <c r="D6" s="286"/>
      <c r="E6" s="289"/>
      <c r="F6" s="289"/>
      <c r="G6" s="98"/>
      <c r="H6" s="98"/>
      <c r="I6" s="98"/>
      <c r="J6" s="289"/>
      <c r="K6" s="289"/>
      <c r="L6" s="266"/>
      <c r="M6" s="266"/>
      <c r="N6" s="267"/>
      <c r="O6" s="267"/>
      <c r="P6" s="267">
        <f t="shared" ref="P6:P7" si="0">SUM(N6:O6)</f>
        <v>0</v>
      </c>
      <c r="Q6" s="288">
        <v>0</v>
      </c>
      <c r="R6" s="267">
        <v>0</v>
      </c>
      <c r="S6" s="288">
        <v>0</v>
      </c>
      <c r="T6" s="267">
        <v>0</v>
      </c>
      <c r="U6" s="287">
        <f t="shared" ref="U6:U7" si="1">Q6*R6+S6*T6</f>
        <v>0</v>
      </c>
      <c r="V6" s="287">
        <f t="shared" ref="V6:V7" si="2">P6+U6</f>
        <v>0</v>
      </c>
      <c r="W6" s="287">
        <f t="shared" ref="W6:W7" si="3">V6</f>
        <v>0</v>
      </c>
      <c r="X6" s="288"/>
    </row>
    <row r="7" spans="1:24" s="268" customFormat="1" ht="15" x14ac:dyDescent="0.2">
      <c r="A7" s="248"/>
      <c r="B7" s="248"/>
      <c r="C7" s="248"/>
      <c r="D7" s="286"/>
      <c r="E7" s="289"/>
      <c r="F7" s="289"/>
      <c r="G7" s="98"/>
      <c r="H7" s="98"/>
      <c r="I7" s="98"/>
      <c r="J7" s="289"/>
      <c r="K7" s="289"/>
      <c r="L7" s="266"/>
      <c r="M7" s="266"/>
      <c r="N7" s="267"/>
      <c r="O7" s="267"/>
      <c r="P7" s="267">
        <f t="shared" si="0"/>
        <v>0</v>
      </c>
      <c r="Q7" s="288">
        <v>0</v>
      </c>
      <c r="R7" s="267">
        <v>0</v>
      </c>
      <c r="S7" s="288">
        <v>0</v>
      </c>
      <c r="T7" s="267">
        <v>0</v>
      </c>
      <c r="U7" s="287">
        <f t="shared" si="1"/>
        <v>0</v>
      </c>
      <c r="V7" s="287">
        <f t="shared" si="2"/>
        <v>0</v>
      </c>
      <c r="W7" s="287">
        <f t="shared" si="3"/>
        <v>0</v>
      </c>
      <c r="X7" s="28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C1"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296" t="s">
        <v>250</v>
      </c>
      <c r="B5" s="296" t="s">
        <v>250</v>
      </c>
      <c r="C5" s="289" t="s">
        <v>378</v>
      </c>
      <c r="D5" s="290"/>
      <c r="E5" s="289" t="s">
        <v>55</v>
      </c>
      <c r="F5" s="296" t="s">
        <v>688</v>
      </c>
      <c r="G5" s="98" t="s">
        <v>31</v>
      </c>
      <c r="H5" s="98" t="s">
        <v>32</v>
      </c>
      <c r="I5" s="98" t="s">
        <v>33</v>
      </c>
      <c r="J5" s="296" t="s">
        <v>32</v>
      </c>
      <c r="K5" s="296" t="s">
        <v>390</v>
      </c>
      <c r="L5" s="266">
        <v>45001</v>
      </c>
      <c r="M5" s="266">
        <v>45002</v>
      </c>
      <c r="N5" s="267">
        <f t="shared" ref="N5:O7" si="0">936.14/2</f>
        <v>468.07</v>
      </c>
      <c r="O5" s="267">
        <f t="shared" si="0"/>
        <v>468.07</v>
      </c>
      <c r="P5" s="267">
        <f>SUM(N5:O5)</f>
        <v>936.14</v>
      </c>
      <c r="Q5" s="292">
        <v>0</v>
      </c>
      <c r="R5" s="267">
        <v>0</v>
      </c>
      <c r="S5" s="292">
        <v>0</v>
      </c>
      <c r="T5" s="267">
        <v>0</v>
      </c>
      <c r="U5" s="291">
        <f>Q5*R5+S5*T5</f>
        <v>0</v>
      </c>
      <c r="V5" s="291">
        <f>P5+U5</f>
        <v>936.14</v>
      </c>
      <c r="W5" s="291">
        <f>V5</f>
        <v>936.14</v>
      </c>
      <c r="X5" s="292"/>
    </row>
    <row r="6" spans="1:24" s="268" customFormat="1" ht="15" x14ac:dyDescent="0.2">
      <c r="A6" s="296" t="s">
        <v>250</v>
      </c>
      <c r="B6" s="248" t="s">
        <v>212</v>
      </c>
      <c r="C6" s="289" t="s">
        <v>612</v>
      </c>
      <c r="D6" s="290">
        <v>365</v>
      </c>
      <c r="E6" s="285" t="s">
        <v>52</v>
      </c>
      <c r="F6" s="296" t="s">
        <v>688</v>
      </c>
      <c r="G6" s="98" t="s">
        <v>31</v>
      </c>
      <c r="H6" s="98" t="s">
        <v>32</v>
      </c>
      <c r="I6" s="98" t="s">
        <v>33</v>
      </c>
      <c r="J6" s="296" t="s">
        <v>32</v>
      </c>
      <c r="K6" s="296" t="s">
        <v>390</v>
      </c>
      <c r="L6" s="266">
        <v>45001</v>
      </c>
      <c r="M6" s="266">
        <v>45002</v>
      </c>
      <c r="N6" s="267">
        <f t="shared" si="0"/>
        <v>468.07</v>
      </c>
      <c r="O6" s="267">
        <f t="shared" si="0"/>
        <v>468.07</v>
      </c>
      <c r="P6" s="267">
        <f t="shared" ref="P6:P10" si="1">SUM(N6:O6)</f>
        <v>936.14</v>
      </c>
      <c r="Q6" s="292">
        <v>2</v>
      </c>
      <c r="R6" s="267">
        <v>120</v>
      </c>
      <c r="S6" s="292">
        <v>0</v>
      </c>
      <c r="T6" s="267">
        <v>0</v>
      </c>
      <c r="U6" s="291">
        <f t="shared" ref="U6:U10" si="2">Q6*R6+S6*T6</f>
        <v>240</v>
      </c>
      <c r="V6" s="291">
        <f t="shared" ref="V6:V9" si="3">P6+U6</f>
        <v>1176.1399999999999</v>
      </c>
      <c r="W6" s="291">
        <f t="shared" ref="W6:W9" si="4">V6</f>
        <v>1176.1399999999999</v>
      </c>
      <c r="X6" s="292"/>
    </row>
    <row r="7" spans="1:24" s="268" customFormat="1" ht="15" x14ac:dyDescent="0.2">
      <c r="A7" s="296" t="s">
        <v>250</v>
      </c>
      <c r="B7" s="248" t="s">
        <v>212</v>
      </c>
      <c r="C7" s="296" t="s">
        <v>270</v>
      </c>
      <c r="D7" s="290" t="s">
        <v>173</v>
      </c>
      <c r="E7" s="252" t="s">
        <v>599</v>
      </c>
      <c r="F7" s="296" t="s">
        <v>688</v>
      </c>
      <c r="G7" s="98" t="s">
        <v>31</v>
      </c>
      <c r="H7" s="98" t="s">
        <v>32</v>
      </c>
      <c r="I7" s="98" t="s">
        <v>33</v>
      </c>
      <c r="J7" s="296" t="s">
        <v>32</v>
      </c>
      <c r="K7" s="296" t="s">
        <v>390</v>
      </c>
      <c r="L7" s="266">
        <v>45001</v>
      </c>
      <c r="M7" s="266">
        <v>45002</v>
      </c>
      <c r="N7" s="267">
        <f t="shared" si="0"/>
        <v>468.07</v>
      </c>
      <c r="O7" s="267">
        <f t="shared" si="0"/>
        <v>468.07</v>
      </c>
      <c r="P7" s="267">
        <f t="shared" si="1"/>
        <v>936.14</v>
      </c>
      <c r="Q7" s="292">
        <v>2</v>
      </c>
      <c r="R7" s="267">
        <v>120</v>
      </c>
      <c r="S7" s="292">
        <v>0</v>
      </c>
      <c r="T7" s="267">
        <v>0</v>
      </c>
      <c r="U7" s="291">
        <f t="shared" si="2"/>
        <v>240</v>
      </c>
      <c r="V7" s="291">
        <f t="shared" si="3"/>
        <v>1176.1399999999999</v>
      </c>
      <c r="W7" s="291">
        <f t="shared" si="4"/>
        <v>1176.1399999999999</v>
      </c>
      <c r="X7" s="292"/>
    </row>
    <row r="8" spans="1:24" s="268" customFormat="1" ht="15" x14ac:dyDescent="0.2">
      <c r="A8" s="248" t="s">
        <v>229</v>
      </c>
      <c r="B8" s="248" t="s">
        <v>227</v>
      </c>
      <c r="C8" s="296" t="s">
        <v>581</v>
      </c>
      <c r="D8" s="290">
        <v>357</v>
      </c>
      <c r="E8" s="252" t="s">
        <v>262</v>
      </c>
      <c r="F8" s="296" t="s">
        <v>689</v>
      </c>
      <c r="G8" s="98" t="s">
        <v>31</v>
      </c>
      <c r="H8" s="98" t="s">
        <v>32</v>
      </c>
      <c r="I8" s="98" t="s">
        <v>33</v>
      </c>
      <c r="J8" s="296" t="s">
        <v>61</v>
      </c>
      <c r="K8" s="296" t="s">
        <v>62</v>
      </c>
      <c r="L8" s="266">
        <v>44997</v>
      </c>
      <c r="M8" s="266">
        <v>45002</v>
      </c>
      <c r="N8" s="267">
        <v>1623.42</v>
      </c>
      <c r="O8" s="267">
        <v>1879.42</v>
      </c>
      <c r="P8" s="267">
        <f t="shared" si="1"/>
        <v>3502.84</v>
      </c>
      <c r="Q8" s="292">
        <v>0</v>
      </c>
      <c r="R8" s="267">
        <v>0</v>
      </c>
      <c r="S8" s="292">
        <v>0</v>
      </c>
      <c r="T8" s="267">
        <v>0</v>
      </c>
      <c r="U8" s="291">
        <f t="shared" si="2"/>
        <v>0</v>
      </c>
      <c r="V8" s="291">
        <f t="shared" si="3"/>
        <v>3502.84</v>
      </c>
      <c r="W8" s="291">
        <f t="shared" si="4"/>
        <v>3502.84</v>
      </c>
      <c r="X8" s="292"/>
    </row>
    <row r="9" spans="1:24" s="268" customFormat="1" ht="15" x14ac:dyDescent="0.2">
      <c r="A9" s="296" t="s">
        <v>250</v>
      </c>
      <c r="B9" s="248" t="s">
        <v>289</v>
      </c>
      <c r="C9" s="296" t="s">
        <v>340</v>
      </c>
      <c r="D9" s="290">
        <v>74</v>
      </c>
      <c r="E9" s="248" t="s">
        <v>536</v>
      </c>
      <c r="F9" s="289" t="s">
        <v>690</v>
      </c>
      <c r="G9" s="98" t="s">
        <v>31</v>
      </c>
      <c r="H9" s="98" t="s">
        <v>32</v>
      </c>
      <c r="I9" s="98" t="s">
        <v>33</v>
      </c>
      <c r="J9" s="296" t="s">
        <v>32</v>
      </c>
      <c r="K9" s="296" t="s">
        <v>390</v>
      </c>
      <c r="L9" s="266">
        <v>44988</v>
      </c>
      <c r="M9" s="266">
        <v>44989</v>
      </c>
      <c r="N9" s="267">
        <f>1709.31/2</f>
        <v>854.65499999999997</v>
      </c>
      <c r="O9" s="267">
        <f>1709.31/2</f>
        <v>854.65499999999997</v>
      </c>
      <c r="P9" s="267">
        <f t="shared" si="1"/>
        <v>1709.31</v>
      </c>
      <c r="Q9" s="292">
        <v>2</v>
      </c>
      <c r="R9" s="267">
        <v>120</v>
      </c>
      <c r="S9" s="292">
        <v>0</v>
      </c>
      <c r="T9" s="267">
        <v>0</v>
      </c>
      <c r="U9" s="291">
        <f t="shared" si="2"/>
        <v>240</v>
      </c>
      <c r="V9" s="291">
        <f t="shared" si="3"/>
        <v>1949.31</v>
      </c>
      <c r="W9" s="291">
        <f t="shared" si="4"/>
        <v>1949.31</v>
      </c>
      <c r="X9" s="292"/>
    </row>
    <row r="10" spans="1:24" s="268" customFormat="1" ht="15" x14ac:dyDescent="0.2">
      <c r="A10" s="393" t="s">
        <v>372</v>
      </c>
      <c r="B10" s="393" t="s">
        <v>238</v>
      </c>
      <c r="C10" s="393" t="s">
        <v>135</v>
      </c>
      <c r="D10" s="356">
        <v>230</v>
      </c>
      <c r="E10" s="396" t="s">
        <v>152</v>
      </c>
      <c r="F10" s="393" t="s">
        <v>691</v>
      </c>
      <c r="G10" s="98" t="s">
        <v>31</v>
      </c>
      <c r="H10" s="296" t="s">
        <v>61</v>
      </c>
      <c r="I10" s="296" t="s">
        <v>62</v>
      </c>
      <c r="J10" s="296" t="s">
        <v>38</v>
      </c>
      <c r="K10" s="296" t="s">
        <v>39</v>
      </c>
      <c r="L10" s="391">
        <v>45011</v>
      </c>
      <c r="M10" s="391">
        <v>45013</v>
      </c>
      <c r="N10" s="388">
        <f>3156.22/2</f>
        <v>1578.11</v>
      </c>
      <c r="O10" s="388">
        <f>3156.22/2</f>
        <v>1578.11</v>
      </c>
      <c r="P10" s="388">
        <f t="shared" si="1"/>
        <v>3156.22</v>
      </c>
      <c r="Q10" s="386">
        <v>7</v>
      </c>
      <c r="R10" s="388">
        <v>120</v>
      </c>
      <c r="S10" s="386">
        <v>0</v>
      </c>
      <c r="T10" s="388">
        <v>0</v>
      </c>
      <c r="U10" s="383">
        <f t="shared" si="2"/>
        <v>840</v>
      </c>
      <c r="V10" s="383">
        <f>P10+U10</f>
        <v>3996.22</v>
      </c>
      <c r="W10" s="383">
        <f>V10</f>
        <v>3996.22</v>
      </c>
      <c r="X10" s="397"/>
    </row>
    <row r="11" spans="1:24" s="268" customFormat="1" ht="15" x14ac:dyDescent="0.2">
      <c r="A11" s="394"/>
      <c r="B11" s="394"/>
      <c r="C11" s="394"/>
      <c r="D11" s="356"/>
      <c r="E11" s="396"/>
      <c r="F11" s="395"/>
      <c r="G11" s="98" t="s">
        <v>31</v>
      </c>
      <c r="H11" s="296" t="s">
        <v>38</v>
      </c>
      <c r="I11" s="296" t="s">
        <v>39</v>
      </c>
      <c r="J11" s="296" t="s">
        <v>32</v>
      </c>
      <c r="K11" s="296" t="s">
        <v>33</v>
      </c>
      <c r="L11" s="392"/>
      <c r="M11" s="392"/>
      <c r="N11" s="389"/>
      <c r="O11" s="389"/>
      <c r="P11" s="389"/>
      <c r="Q11" s="387"/>
      <c r="R11" s="389"/>
      <c r="S11" s="387"/>
      <c r="T11" s="389"/>
      <c r="U11" s="384"/>
      <c r="V11" s="384"/>
      <c r="W11" s="384"/>
      <c r="X11" s="395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D10" sqref="D10:E10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296" t="s">
        <v>372</v>
      </c>
      <c r="B5" s="296" t="s">
        <v>238</v>
      </c>
      <c r="C5" s="302" t="s">
        <v>447</v>
      </c>
      <c r="D5" s="293">
        <v>336</v>
      </c>
      <c r="E5" s="302" t="s">
        <v>695</v>
      </c>
      <c r="F5" s="296" t="s">
        <v>692</v>
      </c>
      <c r="G5" s="98" t="s">
        <v>31</v>
      </c>
      <c r="H5" s="98" t="s">
        <v>32</v>
      </c>
      <c r="I5" s="98" t="s">
        <v>33</v>
      </c>
      <c r="J5" s="302" t="s">
        <v>38</v>
      </c>
      <c r="K5" s="302" t="s">
        <v>39</v>
      </c>
      <c r="L5" s="266">
        <v>45019</v>
      </c>
      <c r="M5" s="266">
        <v>45021</v>
      </c>
      <c r="N5" s="267">
        <f t="shared" ref="N5:O7" si="0">3258.83/2</f>
        <v>1629.415</v>
      </c>
      <c r="O5" s="267">
        <f t="shared" si="0"/>
        <v>1629.415</v>
      </c>
      <c r="P5" s="267">
        <f>SUM(N5:O5)</f>
        <v>3258.83</v>
      </c>
      <c r="Q5" s="295">
        <v>3</v>
      </c>
      <c r="R5" s="267">
        <v>120</v>
      </c>
      <c r="S5" s="295">
        <v>0</v>
      </c>
      <c r="T5" s="267">
        <v>0</v>
      </c>
      <c r="U5" s="294">
        <f>Q5*R5+S5*T5</f>
        <v>360</v>
      </c>
      <c r="V5" s="294">
        <f>P5+U5</f>
        <v>3618.83</v>
      </c>
      <c r="W5" s="294">
        <f>V5</f>
        <v>3618.83</v>
      </c>
      <c r="X5" s="295"/>
    </row>
    <row r="6" spans="1:24" s="268" customFormat="1" ht="15" x14ac:dyDescent="0.2">
      <c r="A6" s="296" t="s">
        <v>372</v>
      </c>
      <c r="B6" s="297" t="s">
        <v>238</v>
      </c>
      <c r="C6" s="302" t="s">
        <v>135</v>
      </c>
      <c r="D6" s="293">
        <v>230</v>
      </c>
      <c r="E6" s="289" t="s">
        <v>152</v>
      </c>
      <c r="F6" s="296" t="s">
        <v>692</v>
      </c>
      <c r="G6" s="98" t="s">
        <v>31</v>
      </c>
      <c r="H6" s="98" t="s">
        <v>32</v>
      </c>
      <c r="I6" s="98" t="s">
        <v>33</v>
      </c>
      <c r="J6" s="296" t="s">
        <v>32</v>
      </c>
      <c r="K6" s="302" t="s">
        <v>39</v>
      </c>
      <c r="L6" s="266">
        <v>45019</v>
      </c>
      <c r="M6" s="266">
        <v>45021</v>
      </c>
      <c r="N6" s="267">
        <f t="shared" si="0"/>
        <v>1629.415</v>
      </c>
      <c r="O6" s="267">
        <f t="shared" si="0"/>
        <v>1629.415</v>
      </c>
      <c r="P6" s="267">
        <f t="shared" ref="P6:P10" si="1">SUM(N6:O6)</f>
        <v>3258.83</v>
      </c>
      <c r="Q6" s="295">
        <v>6</v>
      </c>
      <c r="R6" s="267">
        <v>120</v>
      </c>
      <c r="S6" s="295">
        <v>0</v>
      </c>
      <c r="T6" s="267">
        <v>0</v>
      </c>
      <c r="U6" s="294">
        <f t="shared" ref="U6:U10" si="2">Q6*R6+S6*T6</f>
        <v>720</v>
      </c>
      <c r="V6" s="294">
        <f t="shared" ref="V6:V10" si="3">P6+U6</f>
        <v>3978.83</v>
      </c>
      <c r="W6" s="294">
        <f t="shared" ref="W6:W10" si="4">V6</f>
        <v>3978.83</v>
      </c>
      <c r="X6" s="295"/>
    </row>
    <row r="7" spans="1:24" s="268" customFormat="1" ht="15" x14ac:dyDescent="0.2">
      <c r="A7" s="296" t="s">
        <v>372</v>
      </c>
      <c r="B7" s="297" t="s">
        <v>372</v>
      </c>
      <c r="C7" s="302" t="s">
        <v>134</v>
      </c>
      <c r="D7" s="293">
        <v>202</v>
      </c>
      <c r="E7" s="252" t="s">
        <v>87</v>
      </c>
      <c r="F7" s="296" t="s">
        <v>692</v>
      </c>
      <c r="G7" s="98" t="s">
        <v>31</v>
      </c>
      <c r="H7" s="98" t="s">
        <v>32</v>
      </c>
      <c r="I7" s="98" t="s">
        <v>33</v>
      </c>
      <c r="J7" s="296" t="s">
        <v>32</v>
      </c>
      <c r="K7" s="302" t="s">
        <v>39</v>
      </c>
      <c r="L7" s="266">
        <v>45019</v>
      </c>
      <c r="M7" s="266">
        <v>45021</v>
      </c>
      <c r="N7" s="267">
        <f t="shared" si="0"/>
        <v>1629.415</v>
      </c>
      <c r="O7" s="267">
        <f t="shared" si="0"/>
        <v>1629.415</v>
      </c>
      <c r="P7" s="267">
        <f t="shared" si="1"/>
        <v>3258.83</v>
      </c>
      <c r="Q7" s="295">
        <v>3</v>
      </c>
      <c r="R7" s="267">
        <v>120</v>
      </c>
      <c r="S7" s="295">
        <v>0</v>
      </c>
      <c r="T7" s="267">
        <v>0</v>
      </c>
      <c r="U7" s="294">
        <f t="shared" si="2"/>
        <v>360</v>
      </c>
      <c r="V7" s="294">
        <f t="shared" si="3"/>
        <v>3618.83</v>
      </c>
      <c r="W7" s="294">
        <f t="shared" si="4"/>
        <v>3618.83</v>
      </c>
      <c r="X7" s="295"/>
    </row>
    <row r="8" spans="1:24" s="268" customFormat="1" ht="15" x14ac:dyDescent="0.2">
      <c r="A8" s="297" t="s">
        <v>250</v>
      </c>
      <c r="B8" s="297" t="s">
        <v>289</v>
      </c>
      <c r="C8" s="296" t="s">
        <v>642</v>
      </c>
      <c r="D8" s="293">
        <v>252</v>
      </c>
      <c r="E8" s="302" t="s">
        <v>696</v>
      </c>
      <c r="F8" s="296" t="s">
        <v>694</v>
      </c>
      <c r="G8" s="98" t="s">
        <v>31</v>
      </c>
      <c r="H8" s="98" t="s">
        <v>32</v>
      </c>
      <c r="I8" s="98" t="s">
        <v>33</v>
      </c>
      <c r="J8" s="302" t="s">
        <v>595</v>
      </c>
      <c r="K8" s="302" t="s">
        <v>390</v>
      </c>
      <c r="L8" s="266">
        <v>45021</v>
      </c>
      <c r="M8" s="266">
        <v>45036</v>
      </c>
      <c r="N8" s="267">
        <f>1112.2/2</f>
        <v>556.1</v>
      </c>
      <c r="O8" s="267">
        <f>1112.2/2</f>
        <v>556.1</v>
      </c>
      <c r="P8" s="267">
        <f t="shared" si="1"/>
        <v>1112.2</v>
      </c>
      <c r="Q8" s="295">
        <v>16</v>
      </c>
      <c r="R8" s="267">
        <v>120</v>
      </c>
      <c r="S8" s="295">
        <v>0</v>
      </c>
      <c r="T8" s="267">
        <v>0</v>
      </c>
      <c r="U8" s="294">
        <f t="shared" si="2"/>
        <v>1920</v>
      </c>
      <c r="V8" s="294">
        <f t="shared" si="3"/>
        <v>3032.2</v>
      </c>
      <c r="W8" s="294">
        <f t="shared" si="4"/>
        <v>3032.2</v>
      </c>
      <c r="X8" s="295"/>
    </row>
    <row r="9" spans="1:24" s="268" customFormat="1" ht="15" x14ac:dyDescent="0.2">
      <c r="A9" s="297" t="s">
        <v>250</v>
      </c>
      <c r="B9" s="297" t="s">
        <v>250</v>
      </c>
      <c r="C9" s="302" t="s">
        <v>670</v>
      </c>
      <c r="D9" s="293">
        <v>383</v>
      </c>
      <c r="E9" s="277" t="s">
        <v>677</v>
      </c>
      <c r="F9" s="296" t="s">
        <v>693</v>
      </c>
      <c r="G9" s="98" t="s">
        <v>31</v>
      </c>
      <c r="H9" s="98" t="s">
        <v>32</v>
      </c>
      <c r="I9" s="302" t="s">
        <v>33</v>
      </c>
      <c r="J9" s="302" t="s">
        <v>38</v>
      </c>
      <c r="K9" s="302" t="s">
        <v>39</v>
      </c>
      <c r="L9" s="266">
        <v>45040</v>
      </c>
      <c r="M9" s="266">
        <v>45041</v>
      </c>
      <c r="N9" s="267">
        <f>5617.58/2</f>
        <v>2808.79</v>
      </c>
      <c r="O9" s="267">
        <f>5617.58/2</f>
        <v>2808.79</v>
      </c>
      <c r="P9" s="267">
        <f t="shared" si="1"/>
        <v>5617.58</v>
      </c>
      <c r="Q9" s="295">
        <v>2</v>
      </c>
      <c r="R9" s="267">
        <v>120</v>
      </c>
      <c r="S9" s="295">
        <v>0</v>
      </c>
      <c r="T9" s="267">
        <v>0</v>
      </c>
      <c r="U9" s="294">
        <f t="shared" si="2"/>
        <v>240</v>
      </c>
      <c r="V9" s="294">
        <f t="shared" si="3"/>
        <v>5857.58</v>
      </c>
      <c r="W9" s="294">
        <f t="shared" si="4"/>
        <v>5857.58</v>
      </c>
      <c r="X9" s="295"/>
    </row>
    <row r="10" spans="1:24" s="268" customFormat="1" ht="15" x14ac:dyDescent="0.2">
      <c r="A10" s="296" t="s">
        <v>250</v>
      </c>
      <c r="B10" s="297" t="s">
        <v>250</v>
      </c>
      <c r="C10" s="296" t="s">
        <v>378</v>
      </c>
      <c r="D10" s="293"/>
      <c r="E10" s="289" t="s">
        <v>55</v>
      </c>
      <c r="F10" s="289" t="s">
        <v>693</v>
      </c>
      <c r="G10" s="98" t="s">
        <v>31</v>
      </c>
      <c r="H10" s="98" t="s">
        <v>32</v>
      </c>
      <c r="I10" s="98" t="s">
        <v>33</v>
      </c>
      <c r="J10" s="296" t="s">
        <v>32</v>
      </c>
      <c r="K10" s="302" t="s">
        <v>39</v>
      </c>
      <c r="L10" s="266">
        <v>45040</v>
      </c>
      <c r="M10" s="266">
        <v>45041</v>
      </c>
      <c r="N10" s="267">
        <f>5617.58/2</f>
        <v>2808.79</v>
      </c>
      <c r="O10" s="267">
        <f>5617.58/2</f>
        <v>2808.79</v>
      </c>
      <c r="P10" s="267">
        <f t="shared" si="1"/>
        <v>5617.58</v>
      </c>
      <c r="Q10" s="295">
        <v>0</v>
      </c>
      <c r="R10" s="267">
        <v>0</v>
      </c>
      <c r="S10" s="295">
        <v>0</v>
      </c>
      <c r="T10" s="267">
        <v>0</v>
      </c>
      <c r="U10" s="294">
        <f t="shared" si="2"/>
        <v>0</v>
      </c>
      <c r="V10" s="294">
        <f t="shared" si="3"/>
        <v>5617.58</v>
      </c>
      <c r="W10" s="294">
        <f t="shared" si="4"/>
        <v>5617.58</v>
      </c>
      <c r="X10" s="295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opLeftCell="A4" workbookViewId="0">
      <selection activeCell="F6" sqref="F6"/>
    </sheetView>
  </sheetViews>
  <sheetFormatPr defaultRowHeight="14.25" x14ac:dyDescent="0.2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296" t="s">
        <v>250</v>
      </c>
      <c r="B5" s="296" t="s">
        <v>250</v>
      </c>
      <c r="C5" s="307" t="s">
        <v>378</v>
      </c>
      <c r="D5" s="298"/>
      <c r="E5" s="289" t="s">
        <v>55</v>
      </c>
      <c r="F5" s="296" t="s">
        <v>702</v>
      </c>
      <c r="G5" s="98" t="s">
        <v>31</v>
      </c>
      <c r="H5" s="98" t="s">
        <v>32</v>
      </c>
      <c r="I5" s="98" t="s">
        <v>33</v>
      </c>
      <c r="J5" s="307" t="s">
        <v>38</v>
      </c>
      <c r="K5" s="307" t="s">
        <v>39</v>
      </c>
      <c r="L5" s="266">
        <v>45055</v>
      </c>
      <c r="M5" s="266">
        <v>45060</v>
      </c>
      <c r="N5" s="267">
        <f>1309.52/2</f>
        <v>654.76</v>
      </c>
      <c r="O5" s="267">
        <f>1309.52/2</f>
        <v>654.76</v>
      </c>
      <c r="P5" s="267">
        <f>SUM(N5:O5)</f>
        <v>1309.52</v>
      </c>
      <c r="Q5" s="300">
        <v>0</v>
      </c>
      <c r="R5" s="267">
        <v>0</v>
      </c>
      <c r="S5" s="300">
        <v>0</v>
      </c>
      <c r="T5" s="267">
        <v>0</v>
      </c>
      <c r="U5" s="299">
        <f>Q5*R5+S5*T5</f>
        <v>0</v>
      </c>
      <c r="V5" s="299">
        <f>P5+U5</f>
        <v>1309.52</v>
      </c>
      <c r="W5" s="299">
        <f>V5</f>
        <v>1309.52</v>
      </c>
      <c r="X5" s="300"/>
    </row>
    <row r="6" spans="1:24" s="268" customFormat="1" ht="15" x14ac:dyDescent="0.2">
      <c r="A6" s="296" t="s">
        <v>250</v>
      </c>
      <c r="B6" s="301" t="s">
        <v>250</v>
      </c>
      <c r="C6" s="302" t="s">
        <v>670</v>
      </c>
      <c r="D6" s="298">
        <v>383</v>
      </c>
      <c r="E6" s="307" t="s">
        <v>703</v>
      </c>
      <c r="F6" s="296" t="s">
        <v>701</v>
      </c>
      <c r="G6" s="98" t="s">
        <v>31</v>
      </c>
      <c r="H6" s="98" t="s">
        <v>32</v>
      </c>
      <c r="I6" s="98" t="s">
        <v>33</v>
      </c>
      <c r="J6" s="307" t="s">
        <v>38</v>
      </c>
      <c r="K6" s="302" t="s">
        <v>39</v>
      </c>
      <c r="L6" s="266">
        <v>45055</v>
      </c>
      <c r="M6" s="266">
        <v>45057</v>
      </c>
      <c r="N6" s="267">
        <f>1592.83/2</f>
        <v>796.41499999999996</v>
      </c>
      <c r="O6" s="267">
        <f>1592.83/2</f>
        <v>796.41499999999996</v>
      </c>
      <c r="P6" s="267">
        <f t="shared" ref="P6:P11" si="0">SUM(N6:O6)</f>
        <v>1592.83</v>
      </c>
      <c r="Q6" s="300">
        <v>3</v>
      </c>
      <c r="R6" s="267">
        <v>120</v>
      </c>
      <c r="S6" s="300">
        <v>0</v>
      </c>
      <c r="T6" s="267">
        <v>0</v>
      </c>
      <c r="U6" s="299">
        <f t="shared" ref="U6:U10" si="1">Q6*R6+S6*T6</f>
        <v>360</v>
      </c>
      <c r="V6" s="299">
        <f t="shared" ref="V6:V10" si="2">P6+U6</f>
        <v>1952.83</v>
      </c>
      <c r="W6" s="299">
        <f t="shared" ref="W6:W10" si="3">V6</f>
        <v>1952.83</v>
      </c>
      <c r="X6" s="300"/>
    </row>
    <row r="7" spans="1:24" s="268" customFormat="1" ht="15" x14ac:dyDescent="0.2">
      <c r="A7" s="296" t="s">
        <v>372</v>
      </c>
      <c r="B7" s="301" t="s">
        <v>372</v>
      </c>
      <c r="C7" s="302" t="s">
        <v>134</v>
      </c>
      <c r="D7" s="298">
        <v>202</v>
      </c>
      <c r="E7" s="307" t="s">
        <v>704</v>
      </c>
      <c r="F7" s="296" t="s">
        <v>701</v>
      </c>
      <c r="G7" s="98" t="s">
        <v>31</v>
      </c>
      <c r="H7" s="98" t="s">
        <v>32</v>
      </c>
      <c r="I7" s="98" t="s">
        <v>33</v>
      </c>
      <c r="J7" s="307" t="s">
        <v>38</v>
      </c>
      <c r="K7" s="302" t="s">
        <v>39</v>
      </c>
      <c r="L7" s="266">
        <v>45055</v>
      </c>
      <c r="M7" s="266">
        <v>45057</v>
      </c>
      <c r="N7" s="267">
        <f>1619.83/2</f>
        <v>809.91499999999996</v>
      </c>
      <c r="O7" s="267">
        <f>1619.83/2</f>
        <v>809.91499999999996</v>
      </c>
      <c r="P7" s="267">
        <f t="shared" si="0"/>
        <v>1619.83</v>
      </c>
      <c r="Q7" s="300">
        <v>3</v>
      </c>
      <c r="R7" s="267">
        <v>120</v>
      </c>
      <c r="S7" s="300">
        <v>0</v>
      </c>
      <c r="T7" s="267">
        <v>0</v>
      </c>
      <c r="U7" s="299">
        <f>Q7*R7+S7*T7</f>
        <v>360</v>
      </c>
      <c r="V7" s="299">
        <f t="shared" si="2"/>
        <v>1979.83</v>
      </c>
      <c r="W7" s="299">
        <f t="shared" si="3"/>
        <v>1979.83</v>
      </c>
      <c r="X7" s="300"/>
    </row>
    <row r="8" spans="1:24" s="268" customFormat="1" ht="15" x14ac:dyDescent="0.2">
      <c r="A8" s="296" t="s">
        <v>372</v>
      </c>
      <c r="B8" s="301" t="s">
        <v>372</v>
      </c>
      <c r="C8" s="296" t="s">
        <v>75</v>
      </c>
      <c r="D8" s="298"/>
      <c r="E8" s="301" t="s">
        <v>88</v>
      </c>
      <c r="F8" s="296" t="s">
        <v>701</v>
      </c>
      <c r="G8" s="98" t="s">
        <v>31</v>
      </c>
      <c r="H8" s="98" t="s">
        <v>32</v>
      </c>
      <c r="I8" s="98" t="s">
        <v>33</v>
      </c>
      <c r="J8" s="307" t="s">
        <v>38</v>
      </c>
      <c r="K8" s="302" t="s">
        <v>39</v>
      </c>
      <c r="L8" s="266">
        <v>45055</v>
      </c>
      <c r="M8" s="266">
        <v>45057</v>
      </c>
      <c r="N8" s="267">
        <f>1699.96/2</f>
        <v>849.98</v>
      </c>
      <c r="O8" s="267">
        <f>1699.96/2</f>
        <v>849.98</v>
      </c>
      <c r="P8" s="267">
        <f t="shared" si="0"/>
        <v>1699.96</v>
      </c>
      <c r="Q8" s="300">
        <v>0</v>
      </c>
      <c r="R8" s="267">
        <v>0</v>
      </c>
      <c r="S8" s="300">
        <v>0</v>
      </c>
      <c r="T8" s="267">
        <v>0</v>
      </c>
      <c r="U8" s="299">
        <f t="shared" si="1"/>
        <v>0</v>
      </c>
      <c r="V8" s="299">
        <f t="shared" si="2"/>
        <v>1699.96</v>
      </c>
      <c r="W8" s="299">
        <f t="shared" si="3"/>
        <v>1699.96</v>
      </c>
      <c r="X8" s="300"/>
    </row>
    <row r="9" spans="1:24" s="268" customFormat="1" ht="15" x14ac:dyDescent="0.2">
      <c r="A9" s="301" t="s">
        <v>229</v>
      </c>
      <c r="B9" s="301" t="s">
        <v>239</v>
      </c>
      <c r="C9" s="302" t="s">
        <v>697</v>
      </c>
      <c r="D9" s="298">
        <v>394</v>
      </c>
      <c r="E9" s="307" t="s">
        <v>705</v>
      </c>
      <c r="F9" s="296" t="s">
        <v>700</v>
      </c>
      <c r="G9" s="98" t="s">
        <v>31</v>
      </c>
      <c r="H9" s="98" t="s">
        <v>32</v>
      </c>
      <c r="I9" s="98" t="s">
        <v>33</v>
      </c>
      <c r="J9" s="307" t="s">
        <v>111</v>
      </c>
      <c r="K9" s="307" t="s">
        <v>112</v>
      </c>
      <c r="L9" s="266">
        <v>45056</v>
      </c>
      <c r="M9" s="266">
        <v>45058</v>
      </c>
      <c r="N9" s="267">
        <f>5095/2</f>
        <v>2547.5</v>
      </c>
      <c r="O9" s="267">
        <f>5095/2</f>
        <v>2547.5</v>
      </c>
      <c r="P9" s="267">
        <f t="shared" si="0"/>
        <v>5095</v>
      </c>
      <c r="Q9" s="300">
        <v>3</v>
      </c>
      <c r="R9" s="267">
        <v>120</v>
      </c>
      <c r="S9" s="300">
        <v>0</v>
      </c>
      <c r="T9" s="267">
        <v>0</v>
      </c>
      <c r="U9" s="299">
        <f t="shared" si="1"/>
        <v>360</v>
      </c>
      <c r="V9" s="299">
        <f t="shared" si="2"/>
        <v>5455</v>
      </c>
      <c r="W9" s="299">
        <f t="shared" si="3"/>
        <v>5455</v>
      </c>
      <c r="X9" s="300"/>
    </row>
    <row r="10" spans="1:24" s="268" customFormat="1" ht="15" x14ac:dyDescent="0.2">
      <c r="A10" s="296" t="s">
        <v>229</v>
      </c>
      <c r="B10" s="301" t="s">
        <v>229</v>
      </c>
      <c r="C10" s="296" t="s">
        <v>698</v>
      </c>
      <c r="D10" s="298"/>
      <c r="E10" s="301" t="s">
        <v>561</v>
      </c>
      <c r="F10" s="289" t="s">
        <v>700</v>
      </c>
      <c r="G10" s="98" t="s">
        <v>31</v>
      </c>
      <c r="H10" s="98" t="s">
        <v>32</v>
      </c>
      <c r="I10" s="98" t="s">
        <v>33</v>
      </c>
      <c r="J10" s="307" t="s">
        <v>111</v>
      </c>
      <c r="K10" s="307" t="s">
        <v>112</v>
      </c>
      <c r="L10" s="266">
        <v>45056</v>
      </c>
      <c r="M10" s="266">
        <v>45058</v>
      </c>
      <c r="N10" s="267">
        <f>4603/2</f>
        <v>2301.5</v>
      </c>
      <c r="O10" s="267">
        <f>4603/2</f>
        <v>2301.5</v>
      </c>
      <c r="P10" s="267">
        <f t="shared" si="0"/>
        <v>4603</v>
      </c>
      <c r="Q10" s="300">
        <v>0</v>
      </c>
      <c r="R10" s="267">
        <v>0</v>
      </c>
      <c r="S10" s="300">
        <v>0</v>
      </c>
      <c r="T10" s="267">
        <v>0</v>
      </c>
      <c r="U10" s="299">
        <f t="shared" si="1"/>
        <v>0</v>
      </c>
      <c r="V10" s="299">
        <f t="shared" si="2"/>
        <v>4603</v>
      </c>
      <c r="W10" s="299">
        <f t="shared" si="3"/>
        <v>4603</v>
      </c>
      <c r="X10" s="300"/>
    </row>
    <row r="11" spans="1:24" ht="15" x14ac:dyDescent="0.2">
      <c r="A11" s="401" t="s">
        <v>250</v>
      </c>
      <c r="B11" s="401" t="s">
        <v>250</v>
      </c>
      <c r="C11" s="402" t="s">
        <v>378</v>
      </c>
      <c r="D11" s="403"/>
      <c r="E11" s="397" t="s">
        <v>55</v>
      </c>
      <c r="F11" s="398" t="s">
        <v>699</v>
      </c>
      <c r="G11" s="98" t="s">
        <v>31</v>
      </c>
      <c r="H11" s="98" t="s">
        <v>32</v>
      </c>
      <c r="I11" s="98" t="s">
        <v>33</v>
      </c>
      <c r="J11" s="307" t="s">
        <v>38</v>
      </c>
      <c r="K11" s="302" t="s">
        <v>39</v>
      </c>
      <c r="L11" s="311">
        <v>45063</v>
      </c>
      <c r="M11" s="311">
        <v>45064</v>
      </c>
      <c r="N11" s="388">
        <f>8486.12/2</f>
        <v>4243.0600000000004</v>
      </c>
      <c r="O11" s="388">
        <f>8486.12/2</f>
        <v>4243.0600000000004</v>
      </c>
      <c r="P11" s="388">
        <f t="shared" si="0"/>
        <v>8486.1200000000008</v>
      </c>
      <c r="Q11" s="407">
        <v>0</v>
      </c>
      <c r="R11" s="388">
        <v>0</v>
      </c>
      <c r="S11" s="407">
        <v>0</v>
      </c>
      <c r="T11" s="388">
        <v>0</v>
      </c>
      <c r="U11" s="407">
        <v>0</v>
      </c>
      <c r="V11" s="383">
        <f t="shared" ref="V11:V14" si="4">P11+U11</f>
        <v>8486.1200000000008</v>
      </c>
      <c r="W11" s="383">
        <f t="shared" ref="W11:W14" si="5">V11</f>
        <v>8486.1200000000008</v>
      </c>
      <c r="X11" s="382"/>
    </row>
    <row r="12" spans="1:24" ht="15" x14ac:dyDescent="0.2">
      <c r="A12" s="401"/>
      <c r="B12" s="401"/>
      <c r="C12" s="402"/>
      <c r="D12" s="404"/>
      <c r="E12" s="406"/>
      <c r="F12" s="399"/>
      <c r="G12" s="98" t="s">
        <v>31</v>
      </c>
      <c r="H12" s="307" t="s">
        <v>38</v>
      </c>
      <c r="I12" s="302" t="s">
        <v>39</v>
      </c>
      <c r="J12" s="310" t="s">
        <v>121</v>
      </c>
      <c r="K12" s="310" t="s">
        <v>62</v>
      </c>
      <c r="L12" s="311">
        <v>45064</v>
      </c>
      <c r="M12" s="311">
        <v>45064</v>
      </c>
      <c r="N12" s="408"/>
      <c r="O12" s="408"/>
      <c r="P12" s="408"/>
      <c r="Q12" s="407"/>
      <c r="R12" s="408"/>
      <c r="S12" s="407"/>
      <c r="T12" s="408"/>
      <c r="U12" s="407"/>
      <c r="V12" s="413"/>
      <c r="W12" s="413"/>
      <c r="X12" s="382"/>
    </row>
    <row r="13" spans="1:24" ht="15" x14ac:dyDescent="0.2">
      <c r="A13" s="401"/>
      <c r="B13" s="401"/>
      <c r="C13" s="402"/>
      <c r="D13" s="405"/>
      <c r="E13" s="395"/>
      <c r="F13" s="400"/>
      <c r="G13" s="98" t="s">
        <v>31</v>
      </c>
      <c r="H13" s="310" t="s">
        <v>121</v>
      </c>
      <c r="I13" s="310" t="s">
        <v>62</v>
      </c>
      <c r="J13" s="98" t="s">
        <v>32</v>
      </c>
      <c r="K13" s="98" t="s">
        <v>33</v>
      </c>
      <c r="L13" s="311">
        <v>45064</v>
      </c>
      <c r="M13" s="311">
        <v>45064</v>
      </c>
      <c r="N13" s="389"/>
      <c r="O13" s="389"/>
      <c r="P13" s="389"/>
      <c r="Q13" s="407"/>
      <c r="R13" s="389"/>
      <c r="S13" s="407"/>
      <c r="T13" s="389"/>
      <c r="U13" s="407"/>
      <c r="V13" s="384"/>
      <c r="W13" s="384"/>
      <c r="X13" s="382"/>
    </row>
    <row r="14" spans="1:24" ht="15" x14ac:dyDescent="0.2">
      <c r="A14" s="393" t="s">
        <v>372</v>
      </c>
      <c r="B14" s="410" t="s">
        <v>372</v>
      </c>
      <c r="C14" s="402" t="s">
        <v>75</v>
      </c>
      <c r="D14" s="403"/>
      <c r="E14" s="410" t="s">
        <v>88</v>
      </c>
      <c r="F14" s="398" t="s">
        <v>699</v>
      </c>
      <c r="G14" s="98" t="s">
        <v>31</v>
      </c>
      <c r="H14" s="98" t="s">
        <v>32</v>
      </c>
      <c r="I14" s="98" t="s">
        <v>33</v>
      </c>
      <c r="J14" s="307" t="s">
        <v>38</v>
      </c>
      <c r="K14" s="302" t="s">
        <v>39</v>
      </c>
      <c r="L14" s="311">
        <v>45063</v>
      </c>
      <c r="M14" s="311">
        <v>45064</v>
      </c>
      <c r="N14" s="388">
        <f>8375.42/2</f>
        <v>4187.71</v>
      </c>
      <c r="O14" s="388">
        <f>8375.42/2</f>
        <v>4187.71</v>
      </c>
      <c r="P14" s="388">
        <f>SUM(N14:O16)</f>
        <v>8375.42</v>
      </c>
      <c r="Q14" s="407">
        <v>0</v>
      </c>
      <c r="R14" s="388">
        <v>0</v>
      </c>
      <c r="S14" s="407">
        <v>0</v>
      </c>
      <c r="T14" s="388">
        <v>0</v>
      </c>
      <c r="U14" s="407">
        <v>0</v>
      </c>
      <c r="V14" s="383">
        <f t="shared" si="4"/>
        <v>8375.42</v>
      </c>
      <c r="W14" s="383">
        <f t="shared" si="5"/>
        <v>8375.42</v>
      </c>
      <c r="X14" s="382"/>
    </row>
    <row r="15" spans="1:24" ht="15" x14ac:dyDescent="0.2">
      <c r="A15" s="409"/>
      <c r="B15" s="411"/>
      <c r="C15" s="402"/>
      <c r="D15" s="404"/>
      <c r="E15" s="411"/>
      <c r="F15" s="399"/>
      <c r="G15" s="98" t="s">
        <v>31</v>
      </c>
      <c r="H15" s="310" t="s">
        <v>121</v>
      </c>
      <c r="I15" s="302" t="s">
        <v>39</v>
      </c>
      <c r="J15" s="310" t="s">
        <v>121</v>
      </c>
      <c r="K15" s="310" t="s">
        <v>62</v>
      </c>
      <c r="L15" s="311">
        <v>45064</v>
      </c>
      <c r="M15" s="311">
        <v>45064</v>
      </c>
      <c r="N15" s="408"/>
      <c r="O15" s="408"/>
      <c r="P15" s="408"/>
      <c r="Q15" s="407"/>
      <c r="R15" s="408"/>
      <c r="S15" s="407"/>
      <c r="T15" s="408"/>
      <c r="U15" s="407"/>
      <c r="V15" s="413"/>
      <c r="W15" s="413"/>
      <c r="X15" s="382"/>
    </row>
    <row r="16" spans="1:24" ht="15" x14ac:dyDescent="0.2">
      <c r="A16" s="394"/>
      <c r="B16" s="412"/>
      <c r="C16" s="402"/>
      <c r="D16" s="405"/>
      <c r="E16" s="412"/>
      <c r="F16" s="400"/>
      <c r="G16" s="98" t="s">
        <v>31</v>
      </c>
      <c r="H16" s="307" t="s">
        <v>38</v>
      </c>
      <c r="I16" s="310" t="s">
        <v>62</v>
      </c>
      <c r="J16" s="310" t="s">
        <v>111</v>
      </c>
      <c r="K16" s="310" t="s">
        <v>112</v>
      </c>
      <c r="L16" s="311">
        <v>45064</v>
      </c>
      <c r="M16" s="311">
        <v>45064</v>
      </c>
      <c r="N16" s="389"/>
      <c r="O16" s="389"/>
      <c r="P16" s="389"/>
      <c r="Q16" s="407"/>
      <c r="R16" s="389"/>
      <c r="S16" s="407"/>
      <c r="T16" s="389"/>
      <c r="U16" s="407"/>
      <c r="V16" s="384"/>
      <c r="W16" s="384"/>
      <c r="X16" s="382"/>
    </row>
    <row r="17" spans="1:24" ht="15" x14ac:dyDescent="0.2">
      <c r="A17" s="393" t="s">
        <v>229</v>
      </c>
      <c r="B17" s="410" t="s">
        <v>229</v>
      </c>
      <c r="C17" s="402" t="s">
        <v>698</v>
      </c>
      <c r="D17" s="403"/>
      <c r="E17" s="410" t="s">
        <v>561</v>
      </c>
      <c r="F17" s="398" t="s">
        <v>699</v>
      </c>
      <c r="G17" s="98" t="s">
        <v>31</v>
      </c>
      <c r="H17" s="98" t="s">
        <v>32</v>
      </c>
      <c r="I17" s="98" t="s">
        <v>33</v>
      </c>
      <c r="J17" s="307" t="s">
        <v>38</v>
      </c>
      <c r="K17" s="302" t="s">
        <v>39</v>
      </c>
      <c r="L17" s="311">
        <v>45063</v>
      </c>
      <c r="M17" s="311">
        <v>45064</v>
      </c>
      <c r="N17" s="388">
        <f>8219.66/2</f>
        <v>4109.83</v>
      </c>
      <c r="O17" s="388">
        <f>8219.66/2</f>
        <v>4109.83</v>
      </c>
      <c r="P17" s="388">
        <f>SUM(N17:O19)</f>
        <v>8219.66</v>
      </c>
      <c r="Q17" s="407">
        <v>0</v>
      </c>
      <c r="R17" s="388">
        <v>0</v>
      </c>
      <c r="S17" s="407">
        <v>0</v>
      </c>
      <c r="T17" s="388">
        <v>0</v>
      </c>
      <c r="U17" s="407">
        <v>0</v>
      </c>
      <c r="V17" s="383">
        <f t="shared" ref="V17" si="6">P17+U17</f>
        <v>8219.66</v>
      </c>
      <c r="W17" s="383">
        <f t="shared" ref="W17" si="7">V17</f>
        <v>8219.66</v>
      </c>
      <c r="X17" s="382"/>
    </row>
    <row r="18" spans="1:24" ht="15" x14ac:dyDescent="0.2">
      <c r="A18" s="409"/>
      <c r="B18" s="411"/>
      <c r="C18" s="402"/>
      <c r="D18" s="404"/>
      <c r="E18" s="411"/>
      <c r="F18" s="399"/>
      <c r="G18" s="98" t="s">
        <v>31</v>
      </c>
      <c r="H18" s="307" t="s">
        <v>38</v>
      </c>
      <c r="I18" s="302" t="s">
        <v>39</v>
      </c>
      <c r="J18" s="310" t="s">
        <v>121</v>
      </c>
      <c r="K18" s="310" t="s">
        <v>62</v>
      </c>
      <c r="L18" s="311">
        <v>45064</v>
      </c>
      <c r="M18" s="311">
        <v>45064</v>
      </c>
      <c r="N18" s="408"/>
      <c r="O18" s="408"/>
      <c r="P18" s="408"/>
      <c r="Q18" s="407"/>
      <c r="R18" s="408"/>
      <c r="S18" s="407"/>
      <c r="T18" s="408"/>
      <c r="U18" s="407"/>
      <c r="V18" s="413"/>
      <c r="W18" s="413"/>
      <c r="X18" s="382"/>
    </row>
    <row r="19" spans="1:24" ht="15" x14ac:dyDescent="0.2">
      <c r="A19" s="394"/>
      <c r="B19" s="412"/>
      <c r="C19" s="402"/>
      <c r="D19" s="405"/>
      <c r="E19" s="412"/>
      <c r="F19" s="400"/>
      <c r="G19" s="98" t="s">
        <v>31</v>
      </c>
      <c r="H19" s="310" t="s">
        <v>121</v>
      </c>
      <c r="I19" s="310" t="s">
        <v>62</v>
      </c>
      <c r="J19" s="98" t="s">
        <v>32</v>
      </c>
      <c r="K19" s="98" t="s">
        <v>33</v>
      </c>
      <c r="L19" s="311">
        <v>45064</v>
      </c>
      <c r="M19" s="311">
        <v>45064</v>
      </c>
      <c r="N19" s="389"/>
      <c r="O19" s="389"/>
      <c r="P19" s="389"/>
      <c r="Q19" s="407"/>
      <c r="R19" s="389"/>
      <c r="S19" s="407"/>
      <c r="T19" s="389"/>
      <c r="U19" s="407"/>
      <c r="V19" s="384"/>
      <c r="W19" s="384"/>
      <c r="X19" s="382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Q11:Q13"/>
    <mergeCell ref="R11:R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30" x14ac:dyDescent="0.2">
      <c r="A5" s="308" t="s">
        <v>372</v>
      </c>
      <c r="B5" s="308" t="s">
        <v>372</v>
      </c>
      <c r="C5" s="309" t="s">
        <v>75</v>
      </c>
      <c r="D5" s="303">
        <v>0</v>
      </c>
      <c r="E5" s="258" t="s">
        <v>88</v>
      </c>
      <c r="F5" s="308" t="s">
        <v>713</v>
      </c>
      <c r="G5" s="98" t="s">
        <v>31</v>
      </c>
      <c r="H5" s="98" t="s">
        <v>111</v>
      </c>
      <c r="I5" s="98" t="s">
        <v>112</v>
      </c>
      <c r="J5" s="309" t="s">
        <v>38</v>
      </c>
      <c r="K5" s="309" t="s">
        <v>39</v>
      </c>
      <c r="L5" s="266">
        <v>45096</v>
      </c>
      <c r="M5" s="266">
        <v>45099</v>
      </c>
      <c r="N5" s="267">
        <f>2027.55/2</f>
        <v>1013.775</v>
      </c>
      <c r="O5" s="267">
        <f>2027.55/2</f>
        <v>1013.775</v>
      </c>
      <c r="P5" s="267">
        <f t="shared" ref="P5:P15" si="0">SUM(N5:O5)</f>
        <v>2027.55</v>
      </c>
      <c r="Q5" s="305">
        <v>0</v>
      </c>
      <c r="R5" s="267">
        <v>0</v>
      </c>
      <c r="S5" s="305">
        <v>0</v>
      </c>
      <c r="T5" s="267">
        <v>0</v>
      </c>
      <c r="U5" s="304">
        <f t="shared" ref="U5:U9" si="1">Q5*R5+S5*T5</f>
        <v>0</v>
      </c>
      <c r="V5" s="304">
        <f t="shared" ref="V5:V9" si="2">P5+U5</f>
        <v>2027.55</v>
      </c>
      <c r="W5" s="304">
        <f t="shared" ref="W5:W9" si="3">V5</f>
        <v>2027.55</v>
      </c>
      <c r="X5" s="305"/>
    </row>
    <row r="6" spans="1:24" s="268" customFormat="1" ht="15" x14ac:dyDescent="0.2">
      <c r="A6" s="416" t="s">
        <v>250</v>
      </c>
      <c r="B6" s="308" t="s">
        <v>212</v>
      </c>
      <c r="C6" s="309" t="s">
        <v>40</v>
      </c>
      <c r="D6" s="303">
        <v>129</v>
      </c>
      <c r="E6" s="318" t="s">
        <v>53</v>
      </c>
      <c r="F6" s="308" t="s">
        <v>714</v>
      </c>
      <c r="G6" s="98" t="s">
        <v>31</v>
      </c>
      <c r="H6" s="98" t="s">
        <v>32</v>
      </c>
      <c r="I6" s="98" t="s">
        <v>33</v>
      </c>
      <c r="J6" s="309" t="s">
        <v>32</v>
      </c>
      <c r="K6" s="309" t="s">
        <v>390</v>
      </c>
      <c r="L6" s="266">
        <v>45090</v>
      </c>
      <c r="M6" s="266">
        <v>45093</v>
      </c>
      <c r="N6" s="267">
        <f>3267.13/2</f>
        <v>1633.5650000000001</v>
      </c>
      <c r="O6" s="267">
        <f>3267.13/2</f>
        <v>1633.5650000000001</v>
      </c>
      <c r="P6" s="267">
        <f t="shared" si="0"/>
        <v>3267.13</v>
      </c>
      <c r="Q6" s="305">
        <v>4</v>
      </c>
      <c r="R6" s="267">
        <v>120</v>
      </c>
      <c r="S6" s="305">
        <v>0</v>
      </c>
      <c r="T6" s="267">
        <v>0</v>
      </c>
      <c r="U6" s="304">
        <f t="shared" si="1"/>
        <v>480</v>
      </c>
      <c r="V6" s="304">
        <f t="shared" si="2"/>
        <v>3747.13</v>
      </c>
      <c r="W6" s="304">
        <f t="shared" si="3"/>
        <v>3747.13</v>
      </c>
      <c r="X6" s="305"/>
    </row>
    <row r="7" spans="1:24" s="268" customFormat="1" ht="15" x14ac:dyDescent="0.2">
      <c r="A7" s="308" t="s">
        <v>372</v>
      </c>
      <c r="B7" s="308" t="s">
        <v>372</v>
      </c>
      <c r="C7" s="309" t="s">
        <v>134</v>
      </c>
      <c r="D7" s="303">
        <v>202</v>
      </c>
      <c r="E7" s="309" t="s">
        <v>704</v>
      </c>
      <c r="F7" s="308" t="s">
        <v>711</v>
      </c>
      <c r="G7" s="98" t="s">
        <v>31</v>
      </c>
      <c r="H7" s="98" t="s">
        <v>32</v>
      </c>
      <c r="I7" s="98" t="s">
        <v>33</v>
      </c>
      <c r="J7" s="309" t="s">
        <v>61</v>
      </c>
      <c r="K7" s="309" t="s">
        <v>62</v>
      </c>
      <c r="L7" s="266">
        <v>45088</v>
      </c>
      <c r="M7" s="266">
        <v>45090</v>
      </c>
      <c r="N7" s="267">
        <f>1290.96/2</f>
        <v>645.48</v>
      </c>
      <c r="O7" s="267">
        <f>1290.96/2</f>
        <v>645.48</v>
      </c>
      <c r="P7" s="267">
        <f t="shared" si="0"/>
        <v>1290.96</v>
      </c>
      <c r="Q7" s="305">
        <v>3</v>
      </c>
      <c r="R7" s="267">
        <v>120</v>
      </c>
      <c r="S7" s="305">
        <v>0</v>
      </c>
      <c r="T7" s="267">
        <v>0</v>
      </c>
      <c r="U7" s="304">
        <f t="shared" si="1"/>
        <v>360</v>
      </c>
      <c r="V7" s="304">
        <f t="shared" si="2"/>
        <v>1650.96</v>
      </c>
      <c r="W7" s="304">
        <f t="shared" si="3"/>
        <v>1650.96</v>
      </c>
      <c r="X7" s="305"/>
    </row>
    <row r="8" spans="1:24" s="268" customFormat="1" ht="15" x14ac:dyDescent="0.2">
      <c r="A8" s="308" t="s">
        <v>372</v>
      </c>
      <c r="B8" s="308" t="s">
        <v>238</v>
      </c>
      <c r="C8" s="309" t="s">
        <v>135</v>
      </c>
      <c r="D8" s="303">
        <v>230</v>
      </c>
      <c r="E8" s="318" t="s">
        <v>710</v>
      </c>
      <c r="F8" s="308" t="s">
        <v>711</v>
      </c>
      <c r="G8" s="98" t="s">
        <v>31</v>
      </c>
      <c r="H8" s="98" t="s">
        <v>32</v>
      </c>
      <c r="I8" s="98" t="s">
        <v>33</v>
      </c>
      <c r="J8" s="309" t="s">
        <v>61</v>
      </c>
      <c r="K8" s="309" t="s">
        <v>62</v>
      </c>
      <c r="L8" s="266">
        <v>45088</v>
      </c>
      <c r="M8" s="266">
        <v>45090</v>
      </c>
      <c r="N8" s="267">
        <f>1290.96/2</f>
        <v>645.48</v>
      </c>
      <c r="O8" s="267">
        <f>1290.96/2</f>
        <v>645.48</v>
      </c>
      <c r="P8" s="267">
        <f t="shared" si="0"/>
        <v>1290.96</v>
      </c>
      <c r="Q8" s="305">
        <v>3</v>
      </c>
      <c r="R8" s="267">
        <v>120</v>
      </c>
      <c r="S8" s="305">
        <v>0</v>
      </c>
      <c r="T8" s="267">
        <v>0</v>
      </c>
      <c r="U8" s="304">
        <f t="shared" si="1"/>
        <v>360</v>
      </c>
      <c r="V8" s="304">
        <f t="shared" si="2"/>
        <v>1650.96</v>
      </c>
      <c r="W8" s="304">
        <f t="shared" si="3"/>
        <v>1650.96</v>
      </c>
      <c r="X8" s="305"/>
    </row>
    <row r="9" spans="1:24" s="268" customFormat="1" ht="15" x14ac:dyDescent="0.2">
      <c r="A9" s="308" t="s">
        <v>229</v>
      </c>
      <c r="B9" s="308" t="s">
        <v>229</v>
      </c>
      <c r="C9" s="309" t="s">
        <v>698</v>
      </c>
      <c r="D9" s="303">
        <v>0</v>
      </c>
      <c r="E9" s="306" t="s">
        <v>561</v>
      </c>
      <c r="F9" s="308" t="s">
        <v>716</v>
      </c>
      <c r="G9" s="98" t="s">
        <v>31</v>
      </c>
      <c r="H9" s="98" t="s">
        <v>32</v>
      </c>
      <c r="I9" s="98" t="s">
        <v>33</v>
      </c>
      <c r="J9" s="309" t="s">
        <v>61</v>
      </c>
      <c r="K9" s="309" t="s">
        <v>62</v>
      </c>
      <c r="L9" s="266">
        <v>45091</v>
      </c>
      <c r="M9" s="266">
        <v>45092</v>
      </c>
      <c r="N9" s="267">
        <f>6397.34/2</f>
        <v>3198.67</v>
      </c>
      <c r="O9" s="267">
        <f>6397.34/2</f>
        <v>3198.67</v>
      </c>
      <c r="P9" s="267">
        <f t="shared" si="0"/>
        <v>6397.34</v>
      </c>
      <c r="Q9" s="305">
        <v>0</v>
      </c>
      <c r="R9" s="267">
        <v>0</v>
      </c>
      <c r="S9" s="305">
        <v>0</v>
      </c>
      <c r="T9" s="267">
        <v>0</v>
      </c>
      <c r="U9" s="304">
        <f t="shared" si="1"/>
        <v>0</v>
      </c>
      <c r="V9" s="304">
        <f t="shared" si="2"/>
        <v>6397.34</v>
      </c>
      <c r="W9" s="304">
        <f t="shared" si="3"/>
        <v>6397.34</v>
      </c>
      <c r="X9" s="305"/>
    </row>
    <row r="10" spans="1:24" s="268" customFormat="1" ht="15" x14ac:dyDescent="0.2">
      <c r="A10" s="308" t="s">
        <v>229</v>
      </c>
      <c r="B10" s="318" t="s">
        <v>707</v>
      </c>
      <c r="C10" s="309" t="s">
        <v>706</v>
      </c>
      <c r="D10" s="303">
        <v>0</v>
      </c>
      <c r="E10" s="289" t="s">
        <v>709</v>
      </c>
      <c r="F10" s="308" t="s">
        <v>715</v>
      </c>
      <c r="G10" s="98" t="s">
        <v>31</v>
      </c>
      <c r="H10" s="98" t="s">
        <v>38</v>
      </c>
      <c r="I10" s="98" t="s">
        <v>39</v>
      </c>
      <c r="J10" s="309" t="s">
        <v>32</v>
      </c>
      <c r="K10" s="309" t="s">
        <v>33</v>
      </c>
      <c r="L10" s="266">
        <v>45103</v>
      </c>
      <c r="M10" s="266">
        <v>45103</v>
      </c>
      <c r="N10" s="267">
        <v>2364.62</v>
      </c>
      <c r="O10" s="267">
        <v>8486.1200000000008</v>
      </c>
      <c r="P10" s="267">
        <f t="shared" si="0"/>
        <v>10850.740000000002</v>
      </c>
      <c r="Q10" s="305">
        <v>0</v>
      </c>
      <c r="R10" s="267">
        <v>0</v>
      </c>
      <c r="S10" s="305">
        <v>0</v>
      </c>
      <c r="T10" s="267">
        <v>0</v>
      </c>
      <c r="U10" s="304">
        <f t="shared" ref="U10:U15" si="4">Q10*R10+S10*T10</f>
        <v>0</v>
      </c>
      <c r="V10" s="304">
        <f t="shared" ref="V10:V15" si="5">P10+U10</f>
        <v>10850.740000000002</v>
      </c>
      <c r="W10" s="304">
        <f t="shared" ref="W10:W15" si="6">V10</f>
        <v>10850.740000000002</v>
      </c>
      <c r="X10" s="305"/>
    </row>
    <row r="11" spans="1:24" s="268" customFormat="1" ht="15" x14ac:dyDescent="0.2">
      <c r="A11" s="308" t="s">
        <v>229</v>
      </c>
      <c r="B11" s="308" t="s">
        <v>707</v>
      </c>
      <c r="C11" s="309" t="s">
        <v>708</v>
      </c>
      <c r="D11" s="303">
        <v>0</v>
      </c>
      <c r="E11" s="289" t="s">
        <v>709</v>
      </c>
      <c r="F11" s="308" t="s">
        <v>715</v>
      </c>
      <c r="G11" s="98" t="s">
        <v>31</v>
      </c>
      <c r="H11" s="98" t="s">
        <v>38</v>
      </c>
      <c r="I11" s="98" t="s">
        <v>39</v>
      </c>
      <c r="J11" s="309" t="s">
        <v>32</v>
      </c>
      <c r="K11" s="309" t="s">
        <v>33</v>
      </c>
      <c r="L11" s="266">
        <v>45103</v>
      </c>
      <c r="M11" s="266">
        <v>45103</v>
      </c>
      <c r="N11" s="267">
        <v>2364.62</v>
      </c>
      <c r="O11" s="267">
        <v>8486.1200000000008</v>
      </c>
      <c r="P11" s="267">
        <f t="shared" si="0"/>
        <v>10850.740000000002</v>
      </c>
      <c r="Q11" s="305">
        <v>0</v>
      </c>
      <c r="R11" s="267">
        <v>0</v>
      </c>
      <c r="S11" s="305">
        <v>0</v>
      </c>
      <c r="T11" s="267">
        <v>0</v>
      </c>
      <c r="U11" s="304">
        <f t="shared" si="4"/>
        <v>0</v>
      </c>
      <c r="V11" s="304">
        <f t="shared" si="5"/>
        <v>10850.740000000002</v>
      </c>
      <c r="W11" s="304">
        <f t="shared" si="6"/>
        <v>10850.740000000002</v>
      </c>
      <c r="X11" s="305"/>
    </row>
    <row r="12" spans="1:24" s="268" customFormat="1" ht="15" x14ac:dyDescent="0.2">
      <c r="A12" s="308" t="s">
        <v>229</v>
      </c>
      <c r="B12" s="308" t="s">
        <v>229</v>
      </c>
      <c r="C12" s="309" t="s">
        <v>698</v>
      </c>
      <c r="D12" s="303">
        <v>0</v>
      </c>
      <c r="E12" s="306" t="s">
        <v>561</v>
      </c>
      <c r="F12" s="308" t="s">
        <v>719</v>
      </c>
      <c r="G12" s="98" t="s">
        <v>31</v>
      </c>
      <c r="H12" s="98" t="s">
        <v>32</v>
      </c>
      <c r="I12" s="98" t="s">
        <v>33</v>
      </c>
      <c r="J12" s="309" t="s">
        <v>61</v>
      </c>
      <c r="K12" s="309" t="s">
        <v>62</v>
      </c>
      <c r="L12" s="266">
        <v>45105</v>
      </c>
      <c r="M12" s="266">
        <v>45107</v>
      </c>
      <c r="N12" s="267">
        <f>857.63/2</f>
        <v>428.815</v>
      </c>
      <c r="O12" s="267">
        <f>857.63/2</f>
        <v>428.815</v>
      </c>
      <c r="P12" s="267">
        <f t="shared" si="0"/>
        <v>857.63</v>
      </c>
      <c r="Q12" s="305">
        <v>0</v>
      </c>
      <c r="R12" s="267">
        <v>0</v>
      </c>
      <c r="S12" s="305">
        <v>0</v>
      </c>
      <c r="T12" s="267">
        <v>0</v>
      </c>
      <c r="U12" s="304">
        <f t="shared" si="4"/>
        <v>0</v>
      </c>
      <c r="V12" s="304">
        <f t="shared" si="5"/>
        <v>857.63</v>
      </c>
      <c r="W12" s="304">
        <f t="shared" si="6"/>
        <v>857.63</v>
      </c>
      <c r="X12" s="305"/>
    </row>
    <row r="13" spans="1:24" s="268" customFormat="1" ht="15" x14ac:dyDescent="0.2">
      <c r="A13" s="308" t="s">
        <v>229</v>
      </c>
      <c r="B13" s="308" t="s">
        <v>461</v>
      </c>
      <c r="C13" s="309" t="s">
        <v>396</v>
      </c>
      <c r="D13" s="303">
        <v>349</v>
      </c>
      <c r="E13" s="318" t="s">
        <v>406</v>
      </c>
      <c r="F13" s="308" t="s">
        <v>712</v>
      </c>
      <c r="G13" s="98" t="s">
        <v>31</v>
      </c>
      <c r="H13" s="98" t="s">
        <v>32</v>
      </c>
      <c r="I13" s="98" t="s">
        <v>33</v>
      </c>
      <c r="J13" s="309" t="s">
        <v>462</v>
      </c>
      <c r="K13" s="309" t="s">
        <v>424</v>
      </c>
      <c r="L13" s="266">
        <v>45076</v>
      </c>
      <c r="M13" s="266">
        <v>45079</v>
      </c>
      <c r="N13" s="267">
        <f>2382.9/2</f>
        <v>1191.45</v>
      </c>
      <c r="O13" s="267">
        <f>2382.9/2</f>
        <v>1191.45</v>
      </c>
      <c r="P13" s="267">
        <f t="shared" si="0"/>
        <v>2382.9</v>
      </c>
      <c r="Q13" s="305">
        <v>4</v>
      </c>
      <c r="R13" s="267">
        <v>120</v>
      </c>
      <c r="S13" s="305">
        <v>0</v>
      </c>
      <c r="T13" s="267">
        <v>0</v>
      </c>
      <c r="U13" s="304">
        <f t="shared" si="4"/>
        <v>480</v>
      </c>
      <c r="V13" s="304">
        <f t="shared" si="5"/>
        <v>2862.9</v>
      </c>
      <c r="W13" s="304">
        <f t="shared" si="6"/>
        <v>2862.9</v>
      </c>
      <c r="X13" s="305"/>
    </row>
    <row r="14" spans="1:24" s="268" customFormat="1" ht="45" x14ac:dyDescent="0.2">
      <c r="A14" s="308" t="s">
        <v>250</v>
      </c>
      <c r="B14" s="308" t="s">
        <v>258</v>
      </c>
      <c r="C14" s="309" t="s">
        <v>609</v>
      </c>
      <c r="D14" s="303">
        <v>372</v>
      </c>
      <c r="E14" s="319" t="s">
        <v>208</v>
      </c>
      <c r="F14" s="308" t="s">
        <v>718</v>
      </c>
      <c r="G14" s="98" t="s">
        <v>31</v>
      </c>
      <c r="H14" s="98" t="s">
        <v>32</v>
      </c>
      <c r="I14" s="98" t="s">
        <v>33</v>
      </c>
      <c r="J14" s="309" t="s">
        <v>32</v>
      </c>
      <c r="K14" s="309" t="s">
        <v>390</v>
      </c>
      <c r="L14" s="266">
        <v>45076</v>
      </c>
      <c r="M14" s="266">
        <v>45078</v>
      </c>
      <c r="N14" s="267">
        <f>5019.13/2</f>
        <v>2509.5650000000001</v>
      </c>
      <c r="O14" s="267">
        <f>5019.13/2</f>
        <v>2509.5650000000001</v>
      </c>
      <c r="P14" s="267">
        <f t="shared" si="0"/>
        <v>5019.13</v>
      </c>
      <c r="Q14" s="305">
        <v>3</v>
      </c>
      <c r="R14" s="267">
        <v>120</v>
      </c>
      <c r="S14" s="305">
        <v>0</v>
      </c>
      <c r="T14" s="267">
        <v>0</v>
      </c>
      <c r="U14" s="304">
        <f t="shared" si="4"/>
        <v>360</v>
      </c>
      <c r="V14" s="304">
        <f t="shared" si="5"/>
        <v>5379.13</v>
      </c>
      <c r="W14" s="304">
        <f t="shared" si="6"/>
        <v>5379.13</v>
      </c>
      <c r="X14" s="305"/>
    </row>
    <row r="15" spans="1:24" s="268" customFormat="1" ht="15" x14ac:dyDescent="0.2">
      <c r="A15" s="308" t="s">
        <v>229</v>
      </c>
      <c r="B15" s="308" t="s">
        <v>229</v>
      </c>
      <c r="C15" s="309" t="s">
        <v>698</v>
      </c>
      <c r="D15" s="303">
        <v>0</v>
      </c>
      <c r="E15" s="306" t="s">
        <v>561</v>
      </c>
      <c r="F15" s="308" t="s">
        <v>717</v>
      </c>
      <c r="G15" s="98" t="s">
        <v>31</v>
      </c>
      <c r="H15" s="98" t="s">
        <v>32</v>
      </c>
      <c r="I15" s="98" t="s">
        <v>33</v>
      </c>
      <c r="J15" s="309" t="s">
        <v>61</v>
      </c>
      <c r="K15" s="309" t="s">
        <v>62</v>
      </c>
      <c r="L15" s="266">
        <v>45077</v>
      </c>
      <c r="M15" s="266">
        <v>45078</v>
      </c>
      <c r="N15" s="267">
        <f>(5331.47+0.47)/2</f>
        <v>2665.9700000000003</v>
      </c>
      <c r="O15" s="267">
        <f>(5331.47+0.47)/2</f>
        <v>2665.9700000000003</v>
      </c>
      <c r="P15" s="267">
        <f t="shared" si="0"/>
        <v>5331.9400000000005</v>
      </c>
      <c r="Q15" s="305">
        <v>0</v>
      </c>
      <c r="R15" s="267">
        <v>0</v>
      </c>
      <c r="S15" s="305">
        <v>0</v>
      </c>
      <c r="T15" s="267">
        <v>0</v>
      </c>
      <c r="U15" s="304">
        <f t="shared" si="4"/>
        <v>0</v>
      </c>
      <c r="V15" s="304">
        <f t="shared" si="5"/>
        <v>5331.9400000000005</v>
      </c>
      <c r="W15" s="304">
        <f t="shared" si="6"/>
        <v>5331.9400000000005</v>
      </c>
      <c r="X15" s="305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workbookViewId="0">
      <selection activeCell="E25" sqref="E25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23" t="s">
        <v>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4" ht="15" x14ac:dyDescent="0.25">
      <c r="A2" s="323" t="s">
        <v>5</v>
      </c>
      <c r="B2" s="323"/>
      <c r="C2" s="323" t="s">
        <v>6</v>
      </c>
      <c r="D2" s="323"/>
      <c r="E2" s="323"/>
      <c r="F2" s="323" t="s">
        <v>3</v>
      </c>
      <c r="G2" s="323"/>
      <c r="H2" s="323"/>
      <c r="I2" s="323"/>
      <c r="J2" s="323"/>
      <c r="K2" s="323"/>
      <c r="L2" s="323"/>
      <c r="M2" s="323"/>
      <c r="N2" s="323" t="s">
        <v>7</v>
      </c>
      <c r="O2" s="323"/>
      <c r="P2" s="323"/>
      <c r="Q2" s="323" t="s">
        <v>1</v>
      </c>
      <c r="R2" s="323"/>
      <c r="S2" s="323"/>
      <c r="T2" s="323"/>
      <c r="U2" s="323"/>
      <c r="V2" s="323"/>
      <c r="W2" s="323" t="s">
        <v>8</v>
      </c>
      <c r="X2" s="375" t="s">
        <v>9</v>
      </c>
    </row>
    <row r="3" spans="1:24" ht="15" x14ac:dyDescent="0.25">
      <c r="A3" s="321" t="s">
        <v>10</v>
      </c>
      <c r="B3" s="321" t="s">
        <v>11</v>
      </c>
      <c r="C3" s="321" t="s">
        <v>12</v>
      </c>
      <c r="D3" s="321" t="s">
        <v>13</v>
      </c>
      <c r="E3" s="321" t="s">
        <v>14</v>
      </c>
      <c r="F3" s="321" t="s">
        <v>15</v>
      </c>
      <c r="G3" s="321" t="s">
        <v>16</v>
      </c>
      <c r="H3" s="321" t="s">
        <v>17</v>
      </c>
      <c r="I3" s="321"/>
      <c r="J3" s="320" t="s">
        <v>18</v>
      </c>
      <c r="K3" s="320"/>
      <c r="L3" s="321" t="s">
        <v>19</v>
      </c>
      <c r="M3" s="321" t="s">
        <v>20</v>
      </c>
      <c r="N3" s="320" t="s">
        <v>21</v>
      </c>
      <c r="O3" s="320" t="s">
        <v>22</v>
      </c>
      <c r="P3" s="320" t="s">
        <v>23</v>
      </c>
      <c r="Q3" s="320" t="s">
        <v>24</v>
      </c>
      <c r="R3" s="320"/>
      <c r="S3" s="320" t="s">
        <v>25</v>
      </c>
      <c r="T3" s="320"/>
      <c r="U3" s="321" t="s">
        <v>26</v>
      </c>
      <c r="V3" s="320" t="s">
        <v>23</v>
      </c>
      <c r="W3" s="323"/>
      <c r="X3" s="375"/>
    </row>
    <row r="4" spans="1:24" ht="15" x14ac:dyDescent="0.25">
      <c r="A4" s="378"/>
      <c r="B4" s="378"/>
      <c r="C4" s="378"/>
      <c r="D4" s="378"/>
      <c r="E4" s="378"/>
      <c r="F4" s="378"/>
      <c r="G4" s="378"/>
      <c r="H4" s="10" t="s">
        <v>27</v>
      </c>
      <c r="I4" s="10" t="s">
        <v>28</v>
      </c>
      <c r="J4" s="10" t="s">
        <v>27</v>
      </c>
      <c r="K4" s="11" t="s">
        <v>29</v>
      </c>
      <c r="L4" s="378"/>
      <c r="M4" s="378"/>
      <c r="N4" s="379"/>
      <c r="O4" s="379"/>
      <c r="P4" s="379"/>
      <c r="Q4" s="10" t="s">
        <v>2</v>
      </c>
      <c r="R4" s="11" t="s">
        <v>30</v>
      </c>
      <c r="S4" s="10" t="s">
        <v>2</v>
      </c>
      <c r="T4" s="11" t="s">
        <v>30</v>
      </c>
      <c r="U4" s="378"/>
      <c r="V4" s="379"/>
      <c r="W4" s="377"/>
      <c r="X4" s="376"/>
    </row>
    <row r="5" spans="1:24" s="268" customFormat="1" ht="15" x14ac:dyDescent="0.2">
      <c r="A5" s="417" t="s">
        <v>372</v>
      </c>
      <c r="B5" s="417" t="s">
        <v>372</v>
      </c>
      <c r="C5" s="414" t="s">
        <v>75</v>
      </c>
      <c r="D5" s="414">
        <v>0</v>
      </c>
      <c r="E5" s="414" t="s">
        <v>88</v>
      </c>
      <c r="F5" s="417" t="s">
        <v>722</v>
      </c>
      <c r="G5" s="414" t="s">
        <v>31</v>
      </c>
      <c r="H5" s="98" t="s">
        <v>111</v>
      </c>
      <c r="I5" s="98" t="s">
        <v>112</v>
      </c>
      <c r="J5" s="316" t="s">
        <v>38</v>
      </c>
      <c r="K5" s="316" t="s">
        <v>39</v>
      </c>
      <c r="L5" s="391">
        <v>45110</v>
      </c>
      <c r="M5" s="391">
        <v>45111</v>
      </c>
      <c r="N5" s="388">
        <f>3242.09/2</f>
        <v>1621.0450000000001</v>
      </c>
      <c r="O5" s="388">
        <f>3242.09/2</f>
        <v>1621.0450000000001</v>
      </c>
      <c r="P5" s="388">
        <f t="shared" ref="P5:P15" si="0">SUM(N5:O5)</f>
        <v>3242.09</v>
      </c>
      <c r="Q5" s="414">
        <v>0</v>
      </c>
      <c r="R5" s="414">
        <v>0</v>
      </c>
      <c r="S5" s="414">
        <v>0</v>
      </c>
      <c r="T5" s="414">
        <v>0</v>
      </c>
      <c r="U5" s="414">
        <f t="shared" ref="U5:U15" si="1">Q5*R5+S5*T5</f>
        <v>0</v>
      </c>
      <c r="V5" s="383">
        <f t="shared" ref="V5:V15" si="2">P5+U5</f>
        <v>3242.09</v>
      </c>
      <c r="W5" s="383">
        <f t="shared" ref="W5:W15" si="3">V5</f>
        <v>3242.09</v>
      </c>
      <c r="X5" s="414"/>
    </row>
    <row r="6" spans="1:24" s="268" customFormat="1" ht="15" x14ac:dyDescent="0.2">
      <c r="A6" s="415"/>
      <c r="B6" s="415"/>
      <c r="C6" s="415"/>
      <c r="D6" s="415"/>
      <c r="E6" s="415"/>
      <c r="F6" s="415"/>
      <c r="G6" s="415"/>
      <c r="H6" s="316" t="s">
        <v>38</v>
      </c>
      <c r="I6" s="316" t="s">
        <v>39</v>
      </c>
      <c r="J6" s="416" t="s">
        <v>32</v>
      </c>
      <c r="K6" s="416" t="s">
        <v>33</v>
      </c>
      <c r="L6" s="392"/>
      <c r="M6" s="392"/>
      <c r="N6" s="389"/>
      <c r="O6" s="389"/>
      <c r="P6" s="389"/>
      <c r="Q6" s="415"/>
      <c r="R6" s="415"/>
      <c r="S6" s="415"/>
      <c r="T6" s="415"/>
      <c r="U6" s="415"/>
      <c r="V6" s="384"/>
      <c r="W6" s="384"/>
      <c r="X6" s="415"/>
    </row>
    <row r="7" spans="1:24" s="268" customFormat="1" ht="15" x14ac:dyDescent="0.2">
      <c r="A7" s="317" t="s">
        <v>372</v>
      </c>
      <c r="B7" s="317" t="s">
        <v>372</v>
      </c>
      <c r="C7" s="316" t="s">
        <v>134</v>
      </c>
      <c r="D7" s="312">
        <v>202</v>
      </c>
      <c r="E7" s="316" t="s">
        <v>704</v>
      </c>
      <c r="F7" s="317" t="s">
        <v>722</v>
      </c>
      <c r="G7" s="98" t="s">
        <v>31</v>
      </c>
      <c r="H7" s="98" t="s">
        <v>32</v>
      </c>
      <c r="I7" s="98" t="s">
        <v>33</v>
      </c>
      <c r="J7" s="316" t="s">
        <v>38</v>
      </c>
      <c r="K7" s="316" t="s">
        <v>39</v>
      </c>
      <c r="L7" s="266">
        <v>45110</v>
      </c>
      <c r="M7" s="266">
        <v>45111</v>
      </c>
      <c r="N7" s="315">
        <f>5098.83/2</f>
        <v>2549.415</v>
      </c>
      <c r="O7" s="315">
        <f>5098.83/2</f>
        <v>2549.415</v>
      </c>
      <c r="P7" s="315">
        <f t="shared" si="0"/>
        <v>5098.83</v>
      </c>
      <c r="Q7" s="314">
        <v>2</v>
      </c>
      <c r="R7" s="267">
        <v>120</v>
      </c>
      <c r="S7" s="314">
        <v>0</v>
      </c>
      <c r="T7" s="267">
        <v>0</v>
      </c>
      <c r="U7" s="313">
        <f t="shared" si="1"/>
        <v>240</v>
      </c>
      <c r="V7" s="313">
        <f t="shared" si="2"/>
        <v>5338.83</v>
      </c>
      <c r="W7" s="313">
        <f t="shared" si="3"/>
        <v>5338.83</v>
      </c>
      <c r="X7" s="314"/>
    </row>
    <row r="8" spans="1:24" s="268" customFormat="1" ht="15" x14ac:dyDescent="0.2">
      <c r="A8" s="317" t="s">
        <v>372</v>
      </c>
      <c r="B8" s="317" t="s">
        <v>238</v>
      </c>
      <c r="C8" s="316" t="s">
        <v>135</v>
      </c>
      <c r="D8" s="312">
        <v>230</v>
      </c>
      <c r="E8" s="318" t="s">
        <v>710</v>
      </c>
      <c r="F8" s="317" t="s">
        <v>722</v>
      </c>
      <c r="G8" s="98" t="s">
        <v>31</v>
      </c>
      <c r="H8" s="98" t="s">
        <v>32</v>
      </c>
      <c r="I8" s="98" t="s">
        <v>33</v>
      </c>
      <c r="J8" s="316" t="s">
        <v>38</v>
      </c>
      <c r="K8" s="316" t="s">
        <v>39</v>
      </c>
      <c r="L8" s="266">
        <v>45110</v>
      </c>
      <c r="M8" s="266">
        <v>45111</v>
      </c>
      <c r="N8" s="315">
        <f>5098.83/2</f>
        <v>2549.415</v>
      </c>
      <c r="O8" s="315">
        <f>5098.83/2</f>
        <v>2549.415</v>
      </c>
      <c r="P8" s="315">
        <f t="shared" si="0"/>
        <v>5098.83</v>
      </c>
      <c r="Q8" s="314">
        <v>2</v>
      </c>
      <c r="R8" s="267">
        <v>120</v>
      </c>
      <c r="S8" s="314">
        <v>0</v>
      </c>
      <c r="T8" s="267">
        <v>0</v>
      </c>
      <c r="U8" s="313">
        <f t="shared" si="1"/>
        <v>240</v>
      </c>
      <c r="V8" s="313">
        <f t="shared" si="2"/>
        <v>5338.83</v>
      </c>
      <c r="W8" s="313">
        <f t="shared" si="3"/>
        <v>5338.83</v>
      </c>
      <c r="X8" s="314"/>
    </row>
    <row r="9" spans="1:24" s="268" customFormat="1" ht="15" x14ac:dyDescent="0.2">
      <c r="A9" s="317" t="s">
        <v>250</v>
      </c>
      <c r="B9" s="317" t="s">
        <v>212</v>
      </c>
      <c r="C9" s="316" t="s">
        <v>612</v>
      </c>
      <c r="D9" s="312">
        <v>365</v>
      </c>
      <c r="E9" s="285" t="s">
        <v>52</v>
      </c>
      <c r="F9" s="416" t="s">
        <v>723</v>
      </c>
      <c r="G9" s="98" t="s">
        <v>31</v>
      </c>
      <c r="H9" s="98" t="s">
        <v>32</v>
      </c>
      <c r="I9" s="98" t="s">
        <v>33</v>
      </c>
      <c r="J9" s="416" t="s">
        <v>32</v>
      </c>
      <c r="K9" s="416" t="s">
        <v>390</v>
      </c>
      <c r="L9" s="266">
        <v>45134</v>
      </c>
      <c r="M9" s="266">
        <v>45134</v>
      </c>
      <c r="N9" s="315">
        <f>1555.13/2</f>
        <v>777.56500000000005</v>
      </c>
      <c r="O9" s="315">
        <f>1555.13/2</f>
        <v>777.56500000000005</v>
      </c>
      <c r="P9" s="315">
        <f t="shared" si="0"/>
        <v>1555.13</v>
      </c>
      <c r="Q9" s="314">
        <v>1</v>
      </c>
      <c r="R9" s="267">
        <v>120</v>
      </c>
      <c r="S9" s="314">
        <v>0</v>
      </c>
      <c r="T9" s="267">
        <v>0</v>
      </c>
      <c r="U9" s="313">
        <f t="shared" si="1"/>
        <v>120</v>
      </c>
      <c r="V9" s="313">
        <f t="shared" si="2"/>
        <v>1675.13</v>
      </c>
      <c r="W9" s="313">
        <f t="shared" si="3"/>
        <v>1675.13</v>
      </c>
      <c r="X9" s="314"/>
    </row>
    <row r="10" spans="1:24" s="268" customFormat="1" ht="15" x14ac:dyDescent="0.2">
      <c r="A10" s="317" t="s">
        <v>250</v>
      </c>
      <c r="B10" s="317" t="s">
        <v>212</v>
      </c>
      <c r="C10" s="316" t="s">
        <v>270</v>
      </c>
      <c r="D10" s="312" t="s">
        <v>173</v>
      </c>
      <c r="E10" s="252" t="s">
        <v>599</v>
      </c>
      <c r="F10" s="416" t="s">
        <v>723</v>
      </c>
      <c r="G10" s="98" t="s">
        <v>31</v>
      </c>
      <c r="H10" s="98" t="s">
        <v>32</v>
      </c>
      <c r="I10" s="98" t="s">
        <v>33</v>
      </c>
      <c r="J10" s="416" t="s">
        <v>32</v>
      </c>
      <c r="K10" s="416" t="s">
        <v>390</v>
      </c>
      <c r="L10" s="266">
        <v>45134</v>
      </c>
      <c r="M10" s="266">
        <v>45134</v>
      </c>
      <c r="N10" s="315">
        <f>3264.36/2</f>
        <v>1632.18</v>
      </c>
      <c r="O10" s="315">
        <f>3264.36/2</f>
        <v>1632.18</v>
      </c>
      <c r="P10" s="315">
        <f t="shared" si="0"/>
        <v>3264.36</v>
      </c>
      <c r="Q10" s="314">
        <v>1</v>
      </c>
      <c r="R10" s="267">
        <v>120</v>
      </c>
      <c r="S10" s="314">
        <v>0</v>
      </c>
      <c r="T10" s="267">
        <v>0</v>
      </c>
      <c r="U10" s="313">
        <f t="shared" si="1"/>
        <v>120</v>
      </c>
      <c r="V10" s="313">
        <f t="shared" si="2"/>
        <v>3384.36</v>
      </c>
      <c r="W10" s="313">
        <f t="shared" si="3"/>
        <v>3384.36</v>
      </c>
      <c r="X10" s="314"/>
    </row>
    <row r="11" spans="1:24" s="268" customFormat="1" ht="15" x14ac:dyDescent="0.2">
      <c r="A11" s="416" t="s">
        <v>229</v>
      </c>
      <c r="B11" s="317" t="s">
        <v>229</v>
      </c>
      <c r="C11" s="316" t="s">
        <v>698</v>
      </c>
      <c r="D11" s="312">
        <v>0</v>
      </c>
      <c r="E11" s="416" t="s">
        <v>561</v>
      </c>
      <c r="F11" s="416" t="s">
        <v>721</v>
      </c>
      <c r="G11" s="98" t="s">
        <v>31</v>
      </c>
      <c r="H11" s="98" t="s">
        <v>32</v>
      </c>
      <c r="I11" s="98" t="s">
        <v>33</v>
      </c>
      <c r="J11" s="416" t="s">
        <v>462</v>
      </c>
      <c r="K11" s="416" t="s">
        <v>424</v>
      </c>
      <c r="L11" s="266">
        <v>45118</v>
      </c>
      <c r="M11" s="266">
        <v>45120</v>
      </c>
      <c r="N11" s="315">
        <v>1136.71</v>
      </c>
      <c r="O11" s="315">
        <v>1170.3800000000001</v>
      </c>
      <c r="P11" s="315">
        <f t="shared" si="0"/>
        <v>2307.09</v>
      </c>
      <c r="Q11" s="314">
        <v>0</v>
      </c>
      <c r="R11" s="267">
        <v>0</v>
      </c>
      <c r="S11" s="314">
        <v>0</v>
      </c>
      <c r="T11" s="267">
        <v>0</v>
      </c>
      <c r="U11" s="313">
        <f t="shared" ref="U11" si="4">Q11*R11+S11*T11</f>
        <v>0</v>
      </c>
      <c r="V11" s="313">
        <f t="shared" ref="V11" si="5">P11+U11</f>
        <v>2307.09</v>
      </c>
      <c r="W11" s="313">
        <f t="shared" ref="W11" si="6">V11</f>
        <v>2307.09</v>
      </c>
      <c r="X11" s="314"/>
    </row>
    <row r="12" spans="1:24" s="268" customFormat="1" ht="30" x14ac:dyDescent="0.2">
      <c r="A12" s="416" t="s">
        <v>229</v>
      </c>
      <c r="B12" s="318" t="s">
        <v>227</v>
      </c>
      <c r="C12" s="416" t="s">
        <v>646</v>
      </c>
      <c r="D12" s="312">
        <v>343</v>
      </c>
      <c r="E12" s="416" t="s">
        <v>725</v>
      </c>
      <c r="F12" s="419" t="s">
        <v>724</v>
      </c>
      <c r="G12" s="98" t="s">
        <v>31</v>
      </c>
      <c r="H12" s="98" t="s">
        <v>32</v>
      </c>
      <c r="I12" s="98" t="s">
        <v>33</v>
      </c>
      <c r="J12" s="416" t="s">
        <v>32</v>
      </c>
      <c r="K12" s="316" t="s">
        <v>255</v>
      </c>
      <c r="L12" s="266">
        <v>45138</v>
      </c>
      <c r="M12" s="266">
        <v>45139</v>
      </c>
      <c r="N12" s="315">
        <v>0</v>
      </c>
      <c r="O12" s="315">
        <v>0</v>
      </c>
      <c r="P12" s="315">
        <f t="shared" si="0"/>
        <v>0</v>
      </c>
      <c r="Q12" s="314">
        <v>0</v>
      </c>
      <c r="R12" s="267">
        <v>0</v>
      </c>
      <c r="S12" s="314">
        <v>0</v>
      </c>
      <c r="T12" s="267">
        <v>0</v>
      </c>
      <c r="U12" s="313">
        <f t="shared" si="1"/>
        <v>0</v>
      </c>
      <c r="V12" s="313">
        <f t="shared" si="2"/>
        <v>0</v>
      </c>
      <c r="W12" s="313">
        <f t="shared" si="3"/>
        <v>0</v>
      </c>
      <c r="X12" s="314"/>
    </row>
    <row r="13" spans="1:24" s="268" customFormat="1" ht="15" x14ac:dyDescent="0.2">
      <c r="A13" s="417" t="s">
        <v>229</v>
      </c>
      <c r="B13" s="417" t="s">
        <v>229</v>
      </c>
      <c r="C13" s="393" t="s">
        <v>698</v>
      </c>
      <c r="D13" s="393">
        <v>0</v>
      </c>
      <c r="E13" s="417" t="s">
        <v>561</v>
      </c>
      <c r="F13" s="417" t="s">
        <v>73</v>
      </c>
      <c r="G13" s="98" t="s">
        <v>31</v>
      </c>
      <c r="H13" s="98" t="s">
        <v>32</v>
      </c>
      <c r="I13" s="98" t="s">
        <v>33</v>
      </c>
      <c r="J13" s="416" t="s">
        <v>61</v>
      </c>
      <c r="K13" s="416" t="s">
        <v>62</v>
      </c>
      <c r="L13" s="418">
        <v>45138</v>
      </c>
      <c r="M13" s="418">
        <v>45142</v>
      </c>
      <c r="N13" s="388">
        <f>5571.04/3</f>
        <v>1857.0133333333333</v>
      </c>
      <c r="O13" s="388">
        <f>5571.04/3</f>
        <v>1857.0133333333333</v>
      </c>
      <c r="P13" s="388">
        <f t="shared" si="0"/>
        <v>3714.0266666666666</v>
      </c>
      <c r="Q13" s="393">
        <v>0</v>
      </c>
      <c r="R13" s="393">
        <v>0</v>
      </c>
      <c r="S13" s="393">
        <v>0</v>
      </c>
      <c r="T13" s="393">
        <v>0</v>
      </c>
      <c r="U13" s="393">
        <f t="shared" si="1"/>
        <v>0</v>
      </c>
      <c r="V13" s="383">
        <f t="shared" si="2"/>
        <v>3714.0266666666666</v>
      </c>
      <c r="W13" s="383">
        <f t="shared" si="3"/>
        <v>3714.0266666666666</v>
      </c>
      <c r="X13" s="393"/>
    </row>
    <row r="14" spans="1:24" s="268" customFormat="1" ht="15" x14ac:dyDescent="0.2">
      <c r="A14" s="409"/>
      <c r="B14" s="409"/>
      <c r="C14" s="409"/>
      <c r="D14" s="409"/>
      <c r="E14" s="409"/>
      <c r="F14" s="409"/>
      <c r="G14" s="98" t="s">
        <v>31</v>
      </c>
      <c r="H14" s="416" t="s">
        <v>61</v>
      </c>
      <c r="I14" s="416" t="s">
        <v>62</v>
      </c>
      <c r="J14" s="416" t="s">
        <v>203</v>
      </c>
      <c r="K14" s="416" t="s">
        <v>720</v>
      </c>
      <c r="L14" s="409"/>
      <c r="M14" s="409"/>
      <c r="N14" s="408"/>
      <c r="O14" s="408"/>
      <c r="P14" s="408"/>
      <c r="Q14" s="409"/>
      <c r="R14" s="409"/>
      <c r="S14" s="409">
        <v>0</v>
      </c>
      <c r="T14" s="409">
        <v>0</v>
      </c>
      <c r="U14" s="409">
        <f t="shared" si="1"/>
        <v>0</v>
      </c>
      <c r="V14" s="413"/>
      <c r="W14" s="413"/>
      <c r="X14" s="409"/>
    </row>
    <row r="15" spans="1:24" s="268" customFormat="1" ht="15" x14ac:dyDescent="0.2">
      <c r="A15" s="394"/>
      <c r="B15" s="394"/>
      <c r="C15" s="394"/>
      <c r="D15" s="394"/>
      <c r="E15" s="394"/>
      <c r="F15" s="394"/>
      <c r="G15" s="98" t="s">
        <v>31</v>
      </c>
      <c r="H15" s="416" t="s">
        <v>203</v>
      </c>
      <c r="I15" s="416" t="s">
        <v>720</v>
      </c>
      <c r="J15" s="98" t="s">
        <v>32</v>
      </c>
      <c r="K15" s="98" t="s">
        <v>33</v>
      </c>
      <c r="L15" s="394"/>
      <c r="M15" s="394"/>
      <c r="N15" s="389"/>
      <c r="O15" s="389"/>
      <c r="P15" s="389"/>
      <c r="Q15" s="394"/>
      <c r="R15" s="394"/>
      <c r="S15" s="394">
        <v>0</v>
      </c>
      <c r="T15" s="394">
        <v>0</v>
      </c>
      <c r="U15" s="394">
        <f t="shared" si="1"/>
        <v>0</v>
      </c>
      <c r="V15" s="384"/>
      <c r="W15" s="384"/>
      <c r="X15" s="394"/>
    </row>
  </sheetData>
  <mergeCells count="65">
    <mergeCell ref="T13:T15"/>
    <mergeCell ref="U13:U15"/>
    <mergeCell ref="V13:V15"/>
    <mergeCell ref="W13:W15"/>
    <mergeCell ref="X13:X15"/>
    <mergeCell ref="N13:N15"/>
    <mergeCell ref="O13:O15"/>
    <mergeCell ref="P13:P15"/>
    <mergeCell ref="Q13:Q15"/>
    <mergeCell ref="R13:R15"/>
    <mergeCell ref="S13:S15"/>
    <mergeCell ref="C13:C15"/>
    <mergeCell ref="D13:D15"/>
    <mergeCell ref="E13:E15"/>
    <mergeCell ref="F13:F15"/>
    <mergeCell ref="L13:L15"/>
    <mergeCell ref="M13:M15"/>
    <mergeCell ref="A5:A6"/>
    <mergeCell ref="B5:B6"/>
    <mergeCell ref="A13:A15"/>
    <mergeCell ref="B13:B15"/>
    <mergeCell ref="S5:S6"/>
    <mergeCell ref="T5:T6"/>
    <mergeCell ref="U5:U6"/>
    <mergeCell ref="V5:V6"/>
    <mergeCell ref="W5:W6"/>
    <mergeCell ref="X5:X6"/>
    <mergeCell ref="M5:M6"/>
    <mergeCell ref="N5:N6"/>
    <mergeCell ref="O5:O6"/>
    <mergeCell ref="P5:P6"/>
    <mergeCell ref="Q5:Q6"/>
    <mergeCell ref="R5:R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43101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43160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2" t="s">
        <v>0</v>
      </c>
      <c r="W5" s="322"/>
      <c r="X5" s="8">
        <v>43191</v>
      </c>
    </row>
    <row r="6" spans="1:24" x14ac:dyDescent="0.25">
      <c r="A6" s="323" t="s">
        <v>4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</row>
    <row r="7" spans="1:24" x14ac:dyDescent="0.25">
      <c r="A7" s="323" t="s">
        <v>5</v>
      </c>
      <c r="B7" s="323"/>
      <c r="C7" s="323" t="s">
        <v>6</v>
      </c>
      <c r="D7" s="323"/>
      <c r="E7" s="323"/>
      <c r="F7" s="323" t="s">
        <v>3</v>
      </c>
      <c r="G7" s="323"/>
      <c r="H7" s="323"/>
      <c r="I7" s="323"/>
      <c r="J7" s="323"/>
      <c r="K7" s="323"/>
      <c r="L7" s="323"/>
      <c r="M7" s="323"/>
      <c r="N7" s="323" t="s">
        <v>7</v>
      </c>
      <c r="O7" s="323"/>
      <c r="P7" s="323"/>
      <c r="Q7" s="323" t="s">
        <v>1</v>
      </c>
      <c r="R7" s="323"/>
      <c r="S7" s="323"/>
      <c r="T7" s="323"/>
      <c r="U7" s="323"/>
      <c r="V7" s="323"/>
      <c r="W7" s="323" t="s">
        <v>8</v>
      </c>
      <c r="X7" s="323" t="s">
        <v>9</v>
      </c>
    </row>
    <row r="8" spans="1:24" s="9" customFormat="1" x14ac:dyDescent="0.25">
      <c r="A8" s="321" t="s">
        <v>10</v>
      </c>
      <c r="B8" s="321" t="s">
        <v>11</v>
      </c>
      <c r="C8" s="321" t="s">
        <v>12</v>
      </c>
      <c r="D8" s="321" t="s">
        <v>13</v>
      </c>
      <c r="E8" s="321" t="s">
        <v>14</v>
      </c>
      <c r="F8" s="321" t="s">
        <v>15</v>
      </c>
      <c r="G8" s="321" t="s">
        <v>16</v>
      </c>
      <c r="H8" s="321" t="s">
        <v>17</v>
      </c>
      <c r="I8" s="321"/>
      <c r="J8" s="320" t="s">
        <v>18</v>
      </c>
      <c r="K8" s="320"/>
      <c r="L8" s="321" t="s">
        <v>19</v>
      </c>
      <c r="M8" s="321" t="s">
        <v>20</v>
      </c>
      <c r="N8" s="320" t="s">
        <v>21</v>
      </c>
      <c r="O8" s="320" t="s">
        <v>22</v>
      </c>
      <c r="P8" s="320" t="s">
        <v>23</v>
      </c>
      <c r="Q8" s="320" t="s">
        <v>24</v>
      </c>
      <c r="R8" s="320"/>
      <c r="S8" s="320" t="s">
        <v>25</v>
      </c>
      <c r="T8" s="320"/>
      <c r="U8" s="321" t="s">
        <v>26</v>
      </c>
      <c r="V8" s="320" t="s">
        <v>23</v>
      </c>
      <c r="W8" s="323"/>
      <c r="X8" s="323"/>
    </row>
    <row r="9" spans="1:24" s="9" customFormat="1" ht="17.25" customHeight="1" x14ac:dyDescent="0.25">
      <c r="A9" s="321"/>
      <c r="B9" s="321"/>
      <c r="C9" s="321"/>
      <c r="D9" s="321"/>
      <c r="E9" s="321"/>
      <c r="F9" s="321"/>
      <c r="G9" s="321"/>
      <c r="H9" s="10" t="s">
        <v>27</v>
      </c>
      <c r="I9" s="10" t="s">
        <v>28</v>
      </c>
      <c r="J9" s="10" t="s">
        <v>27</v>
      </c>
      <c r="K9" s="11" t="s">
        <v>29</v>
      </c>
      <c r="L9" s="321"/>
      <c r="M9" s="321"/>
      <c r="N9" s="320"/>
      <c r="O9" s="320"/>
      <c r="P9" s="320"/>
      <c r="Q9" s="10" t="s">
        <v>2</v>
      </c>
      <c r="R9" s="11" t="s">
        <v>30</v>
      </c>
      <c r="S9" s="10" t="s">
        <v>2</v>
      </c>
      <c r="T9" s="11" t="s">
        <v>30</v>
      </c>
      <c r="U9" s="321"/>
      <c r="V9" s="320"/>
      <c r="W9" s="323"/>
      <c r="X9" s="323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71</vt:i4>
      </vt:variant>
    </vt:vector>
  </HeadingPairs>
  <TitlesOfParts>
    <vt:vector size="71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2023-08-03T17:43:44Z</dcterms:modified>
</cp:coreProperties>
</file>