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Tesouraria\Relatórios\MAPA DE VIAGENS E DIÁRIAS\"/>
    </mc:Choice>
  </mc:AlternateContent>
  <xr:revisionPtr revIDLastSave="0" documentId="13_ncr:1_{1F4027C0-5C20-4C02-8C70-809EB0D2B980}" xr6:coauthVersionLast="47" xr6:coauthVersionMax="47" xr10:uidLastSave="{00000000-0000-0000-0000-000000000000}"/>
  <bookViews>
    <workbookView xWindow="-108" yWindow="-108" windowWidth="23256" windowHeight="12576" firstSheet="76" activeTab="79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EXECUTADO_- Fevereir -_2024" sheetId="90" r:id="rId76"/>
    <sheet name="EXECUTADO_- Março -_2024" sheetId="91" r:id="rId77"/>
    <sheet name="EXECUTADO_- Abril -_2024" sheetId="92" r:id="rId78"/>
    <sheet name="EXECUTADO_- Maio -_2024" sheetId="93" r:id="rId79"/>
    <sheet name="EXECUTADO_- Junho -_2024" sheetId="94" r:id="rId80"/>
    <sheet name="Plan2" sheetId="68" r:id="rId81"/>
    <sheet name="Plan3" sheetId="80" r:id="rId8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94" l="1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V13" i="94" l="1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<sst xmlns="http://schemas.openxmlformats.org/spreadsheetml/2006/main" count="9987" uniqueCount="855">
  <si>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</si>
  <si>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</si>
  <si>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</si>
  <si>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</si>
  <si>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</si>
  <si>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</si>
  <si>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</si>
  <si>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</si>
  <si>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</si>
  <si>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</si>
  <si>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</si>
  <si>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</si>
  <si>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</si>
  <si>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</si>
  <si>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</si>
  <si>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</si>
  <si>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</si>
  <si>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</si>
  <si>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</si>
  <si>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</si>
  <si>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</si>
  <si>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</si>
  <si>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</si>
  <si>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</si>
  <si>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</si>
  <si>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</si>
  <si>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</si>
  <si>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</si>
  <si>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</si>
  <si>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</si>
  <si>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</si>
  <si>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</si>
  <si>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</si>
  <si>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</si>
  <si>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</si>
  <si>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</si>
  <si>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</si>
  <si>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</si>
  <si>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</si>
  <si>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</si>
  <si>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</si>
  <si>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</si>
  <si>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</si>
  <si>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</si>
  <si>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</si>
  <si>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</si>
  <si>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</si>
  <si>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</si>
  <si>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</si>
  <si>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</si>
  <si>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</si>
  <si>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</si>
  <si>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</si>
  <si>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</si>
  <si>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</si>
  <si>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</si>
  <si>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</si>
  <si>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</si>
  <si>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</si>
  <si>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</si>
  <si>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</si>
  <si>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</si>
  <si>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</si>
  <si>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</si>
  <si>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</si>
  <si>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</si>
  <si>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</si>
  <si>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</si>
  <si>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</si>
  <si>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</si>
  <si>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</si>
  <si>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</si>
  <si>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</si>
  <si>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</si>
  <si>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</si>
  <si>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</si>
  <si>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</si>
  <si>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</si>
  <si>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</si>
  <si>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</si>
  <si>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</si>
  <si>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</si>
  <si>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</si>
  <si>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</si>
  <si>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</si>
  <si>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</si>
  <si>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</si>
  <si>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</si>
  <si>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</si>
  <si>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</si>
  <si>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</si>
  <si>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</si>
  <si>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</si>
  <si>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</si>
  <si>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</si>
  <si>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</si>
  <si>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</si>
  <si>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</si>
  <si>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</si>
  <si>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</si>
  <si>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</si>
  <si>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</si>
  <si>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</si>
  <si>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</si>
  <si>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</si>
  <si>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</si>
  <si>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</si>
  <si>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</si>
  <si>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</si>
  <si>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</si>
  <si>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</si>
  <si>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</si>
  <si>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</si>
  <si>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</si>
  <si>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</si>
  <si>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</si>
  <si>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</si>
  <si>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</si>
  <si>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</si>
  <si>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</si>
  <si>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</si>
  <si>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</si>
  <si>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</si>
  <si>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</si>
  <si>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</si>
  <si>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</si>
  <si>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</si>
  <si>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</si>
  <si>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</si>
  <si>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</si>
  <si>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</si>
  <si>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</si>
  <si>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</si>
  <si>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</si>
  <si>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</si>
  <si>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</si>
  <si>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</si>
  <si>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</si>
  <si>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</si>
  <si>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</si>
  <si>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</si>
  <si>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</si>
  <si>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</si>
  <si>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</si>
  <si>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</si>
  <si>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</si>
  <si>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</si>
  <si>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</si>
  <si>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</si>
  <si>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</si>
  <si>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</si>
  <si>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</si>
  <si>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</si>
  <si>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</si>
  <si>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</si>
  <si>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</si>
  <si>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</si>
  <si>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</si>
  <si>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</si>
  <si>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</si>
  <si>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</si>
  <si>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</si>
  <si>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</si>
  <si>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</si>
  <si>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</si>
  <si>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</si>
  <si>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</si>
  <si>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</si>
  <si>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</si>
  <si>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</si>
  <si>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</si>
  <si>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</si>
  <si>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</si>
  <si>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</si>
  <si>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</si>
  <si>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</si>
  <si>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</si>
  <si>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</si>
  <si>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</si>
  <si>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</si>
  <si>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</si>
  <si>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</si>
  <si>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</si>
  <si>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</si>
  <si>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</si>
  <si>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</si>
  <si>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</si>
  <si>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</si>
  <si>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</si>
  <si>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</si>
  <si>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</si>
  <si>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</si>
  <si>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</si>
  <si>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</si>
  <si>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</si>
  <si>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</si>
  <si>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</si>
  <si>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</si>
  <si>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</si>
  <si>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</si>
  <si>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</si>
  <si>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</si>
  <si>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</si>
  <si>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</si>
  <si>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</si>
  <si>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</si>
  <si>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</si>
  <si>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</si>
  <si>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</si>
  <si>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</si>
  <si>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</si>
  <si>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</si>
  <si>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</si>
  <si>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</si>
  <si>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</si>
  <si>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</si>
  <si>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</si>
  <si>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</si>
  <si>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</si>
  <si>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</si>
  <si>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</si>
  <si>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</si>
  <si>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</si>
  <si>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</si>
  <si>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</si>
  <si>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</si>
  <si>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</si>
  <si>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</si>
  <si>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</si>
  <si>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</si>
  <si>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</si>
  <si>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</si>
  <si>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</si>
  <si>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</si>
  <si>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</si>
  <si>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</si>
  <si>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</si>
  <si>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</si>
  <si>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</si>
  <si>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</si>
  <si>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</si>
  <si>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</si>
  <si>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</si>
  <si>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</si>
  <si>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</si>
  <si>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</si>
  <si>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</si>
  <si>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</si>
  <si>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</si>
  <si>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</si>
  <si>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</si>
  <si>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</si>
  <si>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</si>
  <si>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</si>
  <si>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</si>
  <si>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</si>
  <si>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</si>
  <si>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</si>
  <si>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</si>
  <si>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</si>
  <si>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</si>
  <si>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</si>
  <si>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</si>
  <si>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</si>
  <si>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</si>
  <si>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</si>
  <si>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</si>
  <si>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</si>
  <si>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</si>
  <si>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</si>
  <si>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</si>
  <si>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</si>
  <si>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</si>
  <si>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</si>
  <si>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</si>
  <si>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</si>
  <si>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</si>
  <si>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</si>
  <si>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</si>
  <si>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</si>
  <si>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</si>
  <si>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</si>
  <si>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</si>
  <si>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</si>
  <si>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</si>
  <si>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</si>
  <si>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</si>
  <si>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</si>
  <si>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</si>
  <si>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</si>
  <si>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</si>
  <si>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</si>
  <si>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</si>
  <si>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</si>
  <si>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</si>
  <si>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</si>
  <si>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</si>
  <si>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</si>
  <si>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</si>
  <si>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</si>
  <si>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</si>
  <si>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</si>
  <si>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</si>
  <si>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</si>
  <si>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</si>
  <si>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</si>
  <si>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</si>
  <si>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</si>
  <si>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</si>
  <si>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</si>
  <si>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</si>
  <si>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</si>
  <si>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</si>
  <si>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</si>
  <si>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</si>
  <si>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</si>
  <si>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</si>
  <si>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</si>
  <si>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</si>
  <si>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</si>
  <si>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</si>
  <si>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</si>
  <si>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</si>
  <si>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</si>
  <si>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</si>
  <si>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</si>
  <si>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</si>
  <si>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</si>
  <si>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</si>
  <si>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</si>
  <si>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</si>
  <si>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</si>
  <si>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</si>
  <si>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</si>
  <si>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</si>
  <si>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</si>
  <si>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</si>
  <si>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</si>
  <si>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</si>
  <si>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</si>
  <si>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</si>
  <si>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</si>
  <si>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</si>
  <si>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</si>
  <si>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</si>
  <si>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</si>
  <si>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</si>
  <si>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</si>
  <si>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</si>
  <si>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</si>
  <si>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</si>
  <si>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</si>
  <si>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</si>
  <si>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</si>
  <si>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</si>
  <si>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</si>
  <si>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</si>
  <si>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</si>
  <si>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</si>
  <si>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</si>
  <si>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</si>
  <si>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</si>
  <si>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</si>
  <si>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</si>
  <si>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</si>
  <si>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</si>
  <si>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</si>
  <si>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</si>
  <si>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</si>
  <si>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</si>
  <si>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</si>
  <si>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</si>
  <si>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</si>
  <si>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</si>
  <si>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</si>
  <si>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</si>
  <si>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</si>
  <si>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</si>
  <si>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</si>
  <si>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</si>
  <si>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</si>
  <si>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</si>
  <si>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</si>
  <si>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</si>
  <si>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</si>
  <si>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</si>
  <si>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</si>
  <si>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</si>
  <si>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</si>
  <si>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</si>
  <si>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</si>
  <si>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</si>
  <si>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</si>
  <si>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</si>
  <si>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</si>
  <si>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</si>
  <si>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</si>
  <si>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</si>
  <si>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</si>
  <si>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</si>
  <si>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</si>
  <si>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</si>
  <si>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</si>
  <si>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</si>
  <si>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</si>
  <si>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</si>
  <si>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</si>
  <si>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</si>
  <si>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</si>
  <si>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</si>
  <si>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</si>
  <si>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</si>
  <si>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</si>
  <si>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</si>
  <si>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</si>
  <si>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</si>
  <si>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</si>
  <si>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</si>
  <si>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</si>
  <si>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</si>
  <si>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</si>
  <si>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</si>
  <si>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</si>
  <si>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</si>
  <si>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</si>
  <si>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</si>
  <si>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</si>
  <si>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</si>
  <si>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</si>
  <si>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</si>
  <si>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</si>
  <si>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</si>
  <si>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</si>
  <si>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</si>
  <si>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</si>
  <si>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</si>
  <si>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</si>
  <si>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</si>
  <si>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</si>
  <si>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</si>
  <si>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</si>
  <si>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</si>
  <si>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</si>
  <si>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</si>
  <si>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</si>
  <si>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</si>
  <si>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</si>
  <si>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</si>
  <si>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</si>
  <si>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</si>
  <si>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</si>
  <si>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</si>
  <si>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</si>
  <si>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</si>
  <si>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</si>
  <si>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</si>
  <si>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</si>
  <si>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</si>
  <si>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</si>
  <si>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</si>
  <si>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</si>
  <si>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</si>
  <si>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</si>
  <si>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</si>
  <si>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</si>
  <si>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</si>
  <si>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</si>
  <si>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</si>
  <si>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</si>
  <si>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</si>
  <si>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</si>
  <si>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</si>
  <si>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</si>
  <si>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</si>
  <si>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</si>
  <si>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</si>
  <si>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</si>
  <si>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</si>
  <si>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</si>
  <si>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</si>
  <si>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</si>
  <si>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</si>
  <si>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</si>
  <si>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</si>
  <si>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</si>
  <si>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</si>
  <si>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</si>
  <si>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</si>
  <si>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</si>
  <si>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</si>
  <si>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</si>
  <si>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</si>
  <si>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</si>
  <si>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</si>
  <si>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</si>
  <si>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</si>
  <si>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</si>
  <si>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</si>
  <si>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</si>
  <si>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</si>
  <si>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</si>
  <si>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</si>
  <si>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</si>
  <si>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</si>
  <si>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</si>
  <si>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</si>
  <si>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</si>
  <si>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</si>
  <si>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</si>
  <si>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</si>
  <si>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</si>
  <si>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</si>
  <si>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</si>
  <si>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</si>
  <si>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</si>
  <si>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</si>
  <si>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</si>
  <si>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</si>
  <si>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</si>
  <si>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</si>
  <si>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</si>
  <si>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</si>
  <si>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</si>
  <si>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</si>
  <si>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</si>
  <si>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</si>
  <si>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</si>
  <si>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</si>
  <si>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</si>
  <si>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</si>
  <si>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</si>
  <si>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</si>
  <si>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</si>
  <si>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</si>
  <si>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</si>
  <si>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</si>
  <si>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</si>
  <si>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</si>
  <si>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</si>
  <si>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</si>
  <si>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</si>
  <si>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</si>
  <si>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</si>
  <si>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</si>
  <si>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</si>
  <si>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</si>
  <si>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</si>
  <si>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</si>
  <si>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</si>
  <si>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</si>
  <si>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</si>
  <si>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</si>
  <si>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</si>
  <si>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</si>
  <si>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</si>
  <si>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</si>
  <si>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</si>
  <si>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</si>
  <si>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</si>
  <si>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</si>
  <si>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</si>
  <si>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</si>
  <si>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</si>
  <si>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</si>
  <si>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</si>
  <si>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</si>
  <si>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</si>
  <si>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</si>
  <si>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</si>
  <si>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</si>
  <si>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</si>
  <si>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</si>
  <si>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</si>
  <si>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</si>
  <si>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</si>
  <si>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</si>
  <si>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</si>
  <si>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</si>
  <si>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</si>
  <si>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</si>
  <si>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</si>
  <si>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</si>
  <si>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</si>
  <si>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</si>
  <si>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</si>
  <si>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</si>
  <si>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</si>
  <si>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</si>
  <si>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</si>
  <si>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</si>
  <si>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</si>
  <si>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</si>
  <si>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</si>
  <si>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</si>
  <si>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</si>
  <si>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</si>
  <si>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</si>
  <si>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</si>
  <si>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</si>
  <si>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</si>
  <si>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</si>
  <si>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</si>
  <si>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</si>
  <si>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</si>
  <si>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</si>
  <si>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</si>
  <si>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</si>
  <si>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</si>
  <si>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</si>
  <si>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</si>
  <si>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</si>
  <si>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</si>
  <si>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</si>
  <si>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</si>
  <si>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</si>
  <si>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</si>
  <si>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</si>
  <si>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</si>
  <si>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</si>
  <si>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</si>
  <si>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</si>
  <si>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</si>
  <si>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</si>
  <si>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</si>
  <si>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</si>
  <si>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</si>
  <si>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</si>
  <si>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</si>
  <si>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</si>
  <si>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</si>
  <si>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</si>
  <si>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</si>
  <si>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</si>
  <si>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</si>
  <si>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</si>
  <si>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</si>
  <si>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</si>
  <si>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</si>
  <si>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</si>
  <si>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</si>
  <si>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</si>
  <si>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</si>
  <si>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</si>
  <si>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</si>
  <si>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</si>
  <si>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</si>
  <si>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</si>
  <si>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</si>
  <si>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</si>
  <si>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</si>
  <si>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</si>
  <si>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</si>
  <si>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</si>
  <si>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</si>
  <si>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</si>
  <si>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</si>
  <si>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</si>
  <si>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</si>
  <si>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</si>
  <si>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</si>
  <si>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</si>
  <si>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</si>
  <si>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</si>
  <si>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</si>
  <si>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</si>
  <si>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</si>
  <si>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</si>
  <si>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</si>
  <si>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</si>
  <si>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</si>
  <si>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</si>
  <si>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</si>
  <si>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</si>
  <si>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</si>
  <si>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</si>
  <si>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</si>
  <si>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</si>
  <si>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</si>
  <si>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</si>
  <si>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</si>
  <si>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</si>
  <si>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</si>
  <si>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</si>
  <si>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</si>
  <si>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</si>
  <si>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</si>
  <si>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</si>
  <si>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</si>
  <si>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</si>
  <si>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</si>
  <si>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</si>
  <si>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</si>
  <si>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</si>
  <si>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</si>
  <si>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</si>
  <si>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</si>
  <si>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</si>
  <si>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</si>
  <si>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</si>
  <si>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</si>
  <si>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</si>
  <si>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</si>
  <si>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</si>
  <si>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</si>
  <si>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</si>
  <si>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</si>
  <si>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</si>
  <si>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</si>
  <si>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</si>
  <si>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</si>
  <si>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</si>
  <si>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</si>
  <si>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</si>
  <si>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</si>
  <si>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</si>
  <si>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</si>
  <si>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</si>
  <si>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</si>
  <si>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</si>
  <si>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</si>
  <si>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</si>
  <si>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</si>
  <si>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</si>
  <si>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</si>
  <si>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</si>
  <si>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</si>
  <si>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</si>
  <si>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</si>
  <si>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</si>
  <si>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</si>
  <si>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</si>
  <si>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</si>
  <si>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</si>
  <si>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</si>
  <si>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</si>
  <si>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</si>
  <si>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</si>
  <si>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</si>
  <si>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</si>
  <si>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</si>
  <si>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</si>
  <si>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</si>
  <si>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</si>
  <si>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</si>
  <si>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</si>
  <si>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</si>
  <si>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</si>
  <si>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</si>
  <si>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</si>
  <si>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</si>
  <si>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</si>
  <si>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</si>
  <si>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</si>
  <si>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</si>
  <si>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</si>
  <si>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</si>
  <si>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</si>
  <si>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</si>
  <si>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</si>
  <si>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</si>
  <si>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</si>
  <si>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</si>
  <si>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</si>
  <si>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</si>
  <si>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</si>
  <si>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</si>
  <si>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</si>
  <si>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</si>
  <si>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</si>
  <si>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</si>
  <si>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</si>
  <si>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</si>
  <si>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</si>
  <si>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</si>
  <si>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</si>
  <si>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</si>
  <si>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</si>
  <si>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</si>
  <si>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</si>
  <si>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</si>
  <si>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</si>
  <si>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</si>
  <si>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</si>
  <si>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</si>
  <si>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</si>
  <si>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</si>
  <si>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</si>
  <si>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</si>
  <si>
    <t>JOSÉ EUDES LIMA UCHOA</t>
  </si>
  <si>
    <t>ASSEMBLEIA GERAL E CONSELHO DE ADMINISTRAÇÃO - ABEGÁS.</t>
  </si>
  <si>
    <t xml:space="preserve">Jantar de Confraternização dos Associados, a convite da COMMIT GÁS </t>
  </si>
  <si>
    <t>VISITA NA SCANIA E MWM</t>
  </si>
  <si>
    <t>REUNIÃO NORGÁS.</t>
  </si>
  <si>
    <t>VISITA A CLIENTES</t>
  </si>
  <si>
    <t>Reunião GT Contabilidade</t>
  </si>
  <si>
    <t>VIAGEM FISCALIZAÇÃO DE OBRAS EM PETROLINA</t>
  </si>
  <si>
    <t>COORDENADOR DA SECRETARIA GERAL</t>
  </si>
  <si>
    <t>SUPERVISOR DO SEGMENTO INDUSTRIAL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</si>
  <si>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</si>
  <si>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</si>
  <si>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</si>
  <si>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</si>
  <si>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</si>
  <si>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FISCALIZAÇÃO DA OBRA DO BOLSÃO EM PEAD - UNIFORT</t>
  </si>
  <si>
    <t>Gerente Comercial Veicular e Industrial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</si>
  <si>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</si>
  <si>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</si>
  <si>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</si>
  <si>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</si>
  <si>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</si>
  <si>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</si>
  <si>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</si>
  <si>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ENGENHEIRO DE CONSTRUÇÃO E OBRA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</si>
  <si>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</si>
  <si>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</si>
  <si>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</si>
  <si>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</si>
  <si>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</si>
  <si>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</si>
  <si>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</si>
  <si>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>BAHIA</t>
  </si>
  <si>
    <t xml:space="preserve"> participação NO Data &amp; Analytics (Gartner).</t>
  </si>
  <si>
    <t>ABAR - participação II Encontro Nacional de agências reguladoras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</si>
  <si>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</si>
  <si>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</si>
  <si>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</si>
  <si>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</si>
  <si>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</si>
  <si>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</si>
  <si>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SUPERVISOR DE LOGISTICA DO GAS</t>
  </si>
  <si>
    <t>DANILLO RAMOS CAMARGO</t>
  </si>
  <si>
    <t>ANDREA MOURA BEZERRA DE MENEZES</t>
  </si>
  <si>
    <t>VISITA ARARIPINA / PETROLINA</t>
  </si>
  <si>
    <t xml:space="preserve"> REUNIÃO NA SCANIA COM GOVERNO DE PE.</t>
  </si>
  <si>
    <t>Visita  Planta de Liquefação  da Eneva</t>
  </si>
  <si>
    <t>TERESINA</t>
  </si>
  <si>
    <t>Participação em evento.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</si>
  <si>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</si>
  <si>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</si>
  <si>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</si>
  <si>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</si>
  <si>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</si>
  <si>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>ENGENHEIRO DE OPERAÇÃO E SUPORTE À REDE</t>
  </si>
  <si>
    <t>COORDENADORA DE QSMS</t>
  </si>
  <si>
    <t>SUPERVISOR DE SEGMENTO VEICULAR</t>
  </si>
  <si>
    <t>Participar Evento Encontro CDL's NE - Grupo Potigás.</t>
  </si>
  <si>
    <t>Visita a COMGÁS</t>
  </si>
  <si>
    <t xml:space="preserve">prospecção de clientes </t>
  </si>
  <si>
    <t>Treinamento para especialista em Proteção Catódica realizado pela AMPP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</si>
  <si>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</si>
  <si>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</si>
  <si>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</si>
  <si>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</si>
  <si>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ASSITENTE PRE</t>
  </si>
  <si>
    <t>YECNICO OPERACIONAL DE OPERAÇÕES E SUPORTE A REDE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</si>
</sst>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54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3" fillId="2" borderId="0" applyNumberFormat="0" applyFont="0" applyBorder="0" applyProtection="0"/>
    <xf numFmtId="0" fontId="44" fillId="0" borderId="0" applyNumberFormat="0" applyBorder="0" applyProtection="0">
      <alignment horizontal="center"/>
    </xf>
    <xf numFmtId="0" fontId="44" fillId="0" borderId="0" applyNumberFormat="0" applyBorder="0" applyProtection="0">
      <alignment horizontal="center" textRotation="90"/>
    </xf>
    <xf numFmtId="0" fontId="45" fillId="0" borderId="0" applyNumberFormat="0" applyBorder="0" applyProtection="0"/>
    <xf numFmtId="166" fontId="45" fillId="0" borderId="0" applyBorder="0" applyProtection="0"/>
    <xf numFmtId="0" fontId="42" fillId="0" borderId="0"/>
    <xf numFmtId="44" fontId="43" fillId="0" borderId="0" applyFont="0" applyFill="0" applyBorder="0" applyAlignment="0" applyProtection="0"/>
    <xf numFmtId="0" fontId="39" fillId="0" borderId="0"/>
  </cellStyleXfs>
  <cellXfs count="255">
    <xf numFmtId="0" fontId="0" fillId="0" borderId="0" xfId="0"/>
    <xf numFmtId="0" fontId="0" fillId="3" borderId="0" xfId="0" applyFill="1"/>
    <xf numFmtId="0" fontId="51" fillId="3" borderId="0" xfId="0" applyFont="1" applyFill="1"/>
    <xf numFmtId="0" fontId="52" fillId="3" borderId="0" xfId="0" applyFont="1" applyFill="1"/>
    <xf numFmtId="0" fontId="52" fillId="0" borderId="0" xfId="0" applyFont="1"/>
    <xf numFmtId="0" fontId="49" fillId="3" borderId="0" xfId="0" applyFont="1" applyFill="1"/>
    <xf numFmtId="0" fontId="47" fillId="3" borderId="0" xfId="0" applyFont="1" applyFill="1"/>
    <xf numFmtId="0" fontId="50" fillId="3" borderId="0" xfId="0" applyFont="1" applyFill="1"/>
    <xf numFmtId="165" fontId="46" fillId="0" borderId="1" xfId="0" applyNumberFormat="1" applyFont="1" applyBorder="1" applyAlignment="1">
      <alignment horizontal="right"/>
    </xf>
    <xf numFmtId="0" fontId="0" fillId="5" borderId="0" xfId="0" applyFill="1"/>
    <xf numFmtId="0" fontId="48" fillId="5" borderId="0" xfId="0" applyFont="1" applyFill="1" applyAlignment="1">
      <alignment horizontal="center"/>
    </xf>
    <xf numFmtId="164" fontId="48" fillId="5" borderId="0" xfId="0" applyNumberFormat="1" applyFont="1" applyFill="1" applyAlignment="1">
      <alignment horizontal="center"/>
    </xf>
    <xf numFmtId="0" fontId="53" fillId="3" borderId="1" xfId="0" applyFont="1" applyFill="1" applyBorder="1" applyAlignment="1">
      <alignment horizontal="center" vertical="top"/>
    </xf>
    <xf numFmtId="0" fontId="53" fillId="0" borderId="1" xfId="0" applyFont="1" applyBorder="1" applyAlignment="1">
      <alignment horizontal="center" vertical="top"/>
    </xf>
    <xf numFmtId="0" fontId="53" fillId="3" borderId="1" xfId="0" applyFont="1" applyFill="1" applyBorder="1" applyAlignment="1">
      <alignment horizontal="center" vertical="top" wrapText="1"/>
    </xf>
    <xf numFmtId="164" fontId="53" fillId="3" borderId="1" xfId="0" applyNumberFormat="1" applyFont="1" applyFill="1" applyBorder="1" applyAlignment="1">
      <alignment horizontal="center" vertical="top"/>
    </xf>
    <xf numFmtId="14" fontId="53" fillId="3" borderId="1" xfId="0" applyNumberFormat="1" applyFont="1" applyFill="1" applyBorder="1" applyAlignment="1">
      <alignment horizontal="center" vertical="top"/>
    </xf>
    <xf numFmtId="14" fontId="53" fillId="3" borderId="2" xfId="0" applyNumberFormat="1" applyFont="1" applyFill="1" applyBorder="1" applyAlignment="1">
      <alignment horizontal="center" vertical="top"/>
    </xf>
    <xf numFmtId="0" fontId="52" fillId="0" borderId="1" xfId="0" applyFont="1" applyBorder="1" applyAlignment="1">
      <alignment horizontal="center" vertical="top"/>
    </xf>
    <xf numFmtId="0" fontId="53" fillId="3" borderId="1" xfId="0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/>
    </xf>
    <xf numFmtId="164" fontId="53" fillId="3" borderId="1" xfId="0" applyNumberFormat="1" applyFont="1" applyFill="1" applyBorder="1" applyAlignment="1">
      <alignment horizontal="center" vertical="center"/>
    </xf>
    <xf numFmtId="14" fontId="53" fillId="3" borderId="1" xfId="0" applyNumberFormat="1" applyFont="1" applyFill="1" applyBorder="1" applyAlignment="1">
      <alignment horizontal="center" vertical="center"/>
    </xf>
    <xf numFmtId="167" fontId="5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53" fillId="3" borderId="1" xfId="0" applyNumberFormat="1" applyFont="1" applyFill="1" applyBorder="1" applyAlignment="1">
      <alignment horizontal="center" vertical="center"/>
    </xf>
    <xf numFmtId="0" fontId="53" fillId="6" borderId="1" xfId="0" applyFont="1" applyFill="1" applyBorder="1" applyAlignment="1">
      <alignment horizontal="center" vertical="center"/>
    </xf>
    <xf numFmtId="0" fontId="53" fillId="6" borderId="1" xfId="0" applyFont="1" applyFill="1" applyBorder="1" applyAlignment="1">
      <alignment horizontal="center" vertical="top"/>
    </xf>
    <xf numFmtId="49" fontId="53" fillId="6" borderId="1" xfId="0" applyNumberFormat="1" applyFont="1" applyFill="1" applyBorder="1" applyAlignment="1">
      <alignment horizontal="center" vertical="center"/>
    </xf>
    <xf numFmtId="0" fontId="53" fillId="7" borderId="1" xfId="0" applyFont="1" applyFill="1" applyBorder="1" applyAlignment="1">
      <alignment horizontal="center" vertical="center"/>
    </xf>
    <xf numFmtId="164" fontId="53" fillId="6" borderId="1" xfId="0" applyNumberFormat="1" applyFont="1" applyFill="1" applyBorder="1" applyAlignment="1">
      <alignment horizontal="center" vertical="center"/>
    </xf>
    <xf numFmtId="167" fontId="53" fillId="6" borderId="1" xfId="0" applyNumberFormat="1" applyFont="1" applyFill="1" applyBorder="1" applyAlignment="1">
      <alignment horizontal="center" vertical="center"/>
    </xf>
    <xf numFmtId="0" fontId="52" fillId="7" borderId="1" xfId="0" applyFont="1" applyFill="1" applyBorder="1" applyAlignment="1">
      <alignment horizontal="center" vertical="top"/>
    </xf>
    <xf numFmtId="0" fontId="53" fillId="6" borderId="1" xfId="0" applyFont="1" applyFill="1" applyBorder="1" applyAlignment="1">
      <alignment horizontal="center" vertical="center" wrapText="1"/>
    </xf>
    <xf numFmtId="14" fontId="53" fillId="6" borderId="1" xfId="0" applyNumberFormat="1" applyFont="1" applyFill="1" applyBorder="1" applyAlignment="1">
      <alignment horizontal="center" vertical="center"/>
    </xf>
    <xf numFmtId="0" fontId="52" fillId="7" borderId="1" xfId="0" applyFont="1" applyFill="1" applyBorder="1" applyAlignment="1">
      <alignment horizontal="center" vertical="center"/>
    </xf>
    <xf numFmtId="0" fontId="53" fillId="6" borderId="1" xfId="0" applyFont="1" applyFill="1" applyBorder="1" applyAlignment="1">
      <alignment horizontal="center" vertical="top" wrapText="1"/>
    </xf>
    <xf numFmtId="14" fontId="53" fillId="6" borderId="4" xfId="0" applyNumberFormat="1" applyFont="1" applyFill="1" applyBorder="1" applyAlignment="1">
      <alignment horizontal="center" vertical="center"/>
    </xf>
    <xf numFmtId="164" fontId="53" fillId="6" borderId="5" xfId="0" applyNumberFormat="1" applyFont="1" applyFill="1" applyBorder="1" applyAlignment="1">
      <alignment horizontal="center" vertical="center"/>
    </xf>
    <xf numFmtId="0" fontId="53" fillId="6" borderId="5" xfId="0" applyFont="1" applyFill="1" applyBorder="1" applyAlignment="1">
      <alignment horizontal="center" vertical="center"/>
    </xf>
    <xf numFmtId="167" fontId="53" fillId="6" borderId="5" xfId="0" applyNumberFormat="1" applyFont="1" applyFill="1" applyBorder="1" applyAlignment="1">
      <alignment horizontal="center" vertical="center"/>
    </xf>
    <xf numFmtId="0" fontId="52" fillId="7" borderId="5" xfId="0" applyFont="1" applyFill="1" applyBorder="1" applyAlignment="1">
      <alignment horizontal="center" vertical="top"/>
    </xf>
    <xf numFmtId="164" fontId="53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53" fillId="6" borderId="3" xfId="0" applyNumberFormat="1" applyFont="1" applyFill="1" applyBorder="1" applyAlignment="1">
      <alignment horizontal="center" vertical="center"/>
    </xf>
    <xf numFmtId="167" fontId="53" fillId="6" borderId="3" xfId="0" applyNumberFormat="1" applyFont="1" applyFill="1" applyBorder="1" applyAlignment="1">
      <alignment horizontal="center" vertical="center"/>
    </xf>
    <xf numFmtId="0" fontId="53" fillId="6" borderId="3" xfId="0" applyFont="1" applyFill="1" applyBorder="1" applyAlignment="1">
      <alignment horizontal="center" vertical="center"/>
    </xf>
    <xf numFmtId="164" fontId="53" fillId="6" borderId="2" xfId="0" applyNumberFormat="1" applyFont="1" applyFill="1" applyBorder="1" applyAlignment="1">
      <alignment horizontal="center" vertical="center"/>
    </xf>
    <xf numFmtId="0" fontId="53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53" fillId="6" borderId="5" xfId="0" applyNumberFormat="1" applyFont="1" applyFill="1" applyBorder="1" applyAlignment="1">
      <alignment horizontal="center" vertical="center"/>
    </xf>
    <xf numFmtId="14" fontId="53" fillId="6" borderId="5" xfId="0" applyNumberFormat="1" applyFont="1" applyFill="1" applyBorder="1" applyAlignment="1">
      <alignment horizontal="center" vertical="center"/>
    </xf>
    <xf numFmtId="0" fontId="53" fillId="6" borderId="3" xfId="0" applyFont="1" applyFill="1" applyBorder="1" applyAlignment="1">
      <alignment horizontal="center" vertical="center" wrapText="1"/>
    </xf>
    <xf numFmtId="14" fontId="53" fillId="6" borderId="3" xfId="0" applyNumberFormat="1" applyFont="1" applyFill="1" applyBorder="1" applyAlignment="1">
      <alignment horizontal="center" vertical="center"/>
    </xf>
    <xf numFmtId="0" fontId="53" fillId="7" borderId="3" xfId="0" applyFont="1" applyFill="1" applyBorder="1" applyAlignment="1">
      <alignment horizontal="center" vertical="center"/>
    </xf>
    <xf numFmtId="49" fontId="53" fillId="6" borderId="3" xfId="0" applyNumberFormat="1" applyFont="1" applyFill="1" applyBorder="1" applyAlignment="1">
      <alignment horizontal="center" vertical="center"/>
    </xf>
    <xf numFmtId="164" fontId="53" fillId="6" borderId="15" xfId="0" applyNumberFormat="1" applyFont="1" applyFill="1" applyBorder="1" applyAlignment="1">
      <alignment horizontal="center" vertical="center"/>
    </xf>
    <xf numFmtId="164" fontId="53" fillId="6" borderId="17" xfId="0" applyNumberFormat="1" applyFont="1" applyFill="1" applyBorder="1" applyAlignment="1">
      <alignment horizontal="center" vertical="center"/>
    </xf>
    <xf numFmtId="168" fontId="53" fillId="6" borderId="3" xfId="0" applyNumberFormat="1" applyFont="1" applyFill="1" applyBorder="1" applyAlignment="1">
      <alignment horizontal="center" vertical="center"/>
    </xf>
    <xf numFmtId="167" fontId="53" fillId="6" borderId="15" xfId="0" applyNumberFormat="1" applyFont="1" applyFill="1" applyBorder="1" applyAlignment="1">
      <alignment horizontal="center" vertical="center"/>
    </xf>
    <xf numFmtId="0" fontId="53" fillId="3" borderId="2" xfId="0" applyFont="1" applyFill="1" applyBorder="1" applyAlignment="1">
      <alignment horizontal="center" vertical="center" wrapText="1"/>
    </xf>
    <xf numFmtId="14" fontId="53" fillId="6" borderId="1" xfId="0" applyNumberFormat="1" applyFont="1" applyFill="1" applyBorder="1" applyAlignment="1">
      <alignment horizontal="center" vertical="center" wrapText="1"/>
    </xf>
    <xf numFmtId="44" fontId="53" fillId="6" borderId="1" xfId="7" applyFont="1" applyFill="1" applyBorder="1" applyAlignment="1">
      <alignment horizontal="center" vertical="center" wrapText="1"/>
    </xf>
    <xf numFmtId="0" fontId="53" fillId="3" borderId="5" xfId="0" applyFont="1" applyFill="1" applyBorder="1" applyAlignment="1">
      <alignment horizontal="center" vertical="center" wrapText="1"/>
    </xf>
    <xf numFmtId="0" fontId="53" fillId="6" borderId="5" xfId="0" applyFont="1" applyFill="1" applyBorder="1" applyAlignment="1">
      <alignment horizontal="center" vertical="center" wrapText="1"/>
    </xf>
    <xf numFmtId="0" fontId="53" fillId="3" borderId="3" xfId="0" applyFont="1" applyFill="1" applyBorder="1" applyAlignment="1">
      <alignment horizontal="center" vertical="center" wrapText="1"/>
    </xf>
    <xf numFmtId="14" fontId="53" fillId="6" borderId="5" xfId="0" applyNumberFormat="1" applyFont="1" applyFill="1" applyBorder="1" applyAlignment="1">
      <alignment horizontal="center" vertical="center" wrapText="1"/>
    </xf>
    <xf numFmtId="44" fontId="53" fillId="6" borderId="5" xfId="7" applyFont="1" applyFill="1" applyBorder="1" applyAlignment="1">
      <alignment horizontal="center" vertical="center" wrapText="1"/>
    </xf>
    <xf numFmtId="14" fontId="53" fillId="6" borderId="3" xfId="0" applyNumberFormat="1" applyFont="1" applyFill="1" applyBorder="1" applyAlignment="1">
      <alignment horizontal="center" vertical="center" wrapText="1"/>
    </xf>
    <xf numFmtId="44" fontId="53" fillId="6" borderId="3" xfId="7" applyFont="1" applyFill="1" applyBorder="1" applyAlignment="1">
      <alignment horizontal="center" vertical="center" wrapText="1"/>
    </xf>
    <xf numFmtId="0" fontId="53" fillId="6" borderId="19" xfId="0" applyFont="1" applyFill="1" applyBorder="1" applyAlignment="1">
      <alignment horizontal="center" vertical="center" wrapText="1"/>
    </xf>
    <xf numFmtId="165" fontId="46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41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39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39" fillId="0" borderId="3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9" fillId="0" borderId="0" xfId="8" applyAlignment="1">
      <alignment horizontal="center" vertical="center"/>
    </xf>
    <xf numFmtId="0" fontId="53" fillId="6" borderId="13" xfId="0" applyFont="1" applyFill="1" applyBorder="1" applyAlignment="1">
      <alignment horizontal="center" vertical="center" wrapText="1"/>
    </xf>
    <xf numFmtId="169" fontId="41" fillId="0" borderId="3" xfId="0" applyNumberFormat="1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49" fontId="53" fillId="6" borderId="13" xfId="0" applyNumberFormat="1" applyFont="1" applyFill="1" applyBorder="1" applyAlignment="1">
      <alignment horizontal="center" vertical="center"/>
    </xf>
    <xf numFmtId="0" fontId="53" fillId="3" borderId="13" xfId="0" applyFont="1" applyFill="1" applyBorder="1" applyAlignment="1">
      <alignment horizontal="center" vertical="center" wrapText="1"/>
    </xf>
    <xf numFmtId="14" fontId="53" fillId="6" borderId="13" xfId="0" applyNumberFormat="1" applyFont="1" applyFill="1" applyBorder="1" applyAlignment="1">
      <alignment horizontal="center" vertical="center" wrapText="1"/>
    </xf>
    <xf numFmtId="169" fontId="41" fillId="0" borderId="13" xfId="0" applyNumberFormat="1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28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53" fillId="6" borderId="13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4" fontId="0" fillId="0" borderId="0" xfId="0" applyNumberFormat="1"/>
    <xf numFmtId="0" fontId="25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21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0" fillId="9" borderId="0" xfId="0" applyFill="1"/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6" fillId="0" borderId="1" xfId="0" applyFont="1" applyBorder="1"/>
    <xf numFmtId="0" fontId="48" fillId="4" borderId="1" xfId="0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/>
    </xf>
    <xf numFmtId="164" fontId="48" fillId="5" borderId="1" xfId="0" applyNumberFormat="1" applyFont="1" applyFill="1" applyBorder="1" applyAlignment="1">
      <alignment horizontal="center"/>
    </xf>
    <xf numFmtId="164" fontId="53" fillId="6" borderId="3" xfId="0" applyNumberFormat="1" applyFont="1" applyFill="1" applyBorder="1" applyAlignment="1">
      <alignment horizontal="center" vertical="center"/>
    </xf>
    <xf numFmtId="164" fontId="53" fillId="6" borderId="9" xfId="0" applyNumberFormat="1" applyFont="1" applyFill="1" applyBorder="1" applyAlignment="1">
      <alignment horizontal="center" vertical="center"/>
    </xf>
    <xf numFmtId="164" fontId="53" fillId="6" borderId="10" xfId="0" applyNumberFormat="1" applyFont="1" applyFill="1" applyBorder="1" applyAlignment="1">
      <alignment horizontal="center" vertical="center"/>
    </xf>
    <xf numFmtId="0" fontId="52" fillId="7" borderId="3" xfId="0" applyFont="1" applyFill="1" applyBorder="1" applyAlignment="1">
      <alignment horizontal="center" vertical="top"/>
    </xf>
    <xf numFmtId="0" fontId="53" fillId="6" borderId="7" xfId="0" applyFont="1" applyFill="1" applyBorder="1" applyAlignment="1">
      <alignment horizontal="center" vertical="center"/>
    </xf>
    <xf numFmtId="0" fontId="53" fillId="6" borderId="8" xfId="0" applyFont="1" applyFill="1" applyBorder="1" applyAlignment="1">
      <alignment horizontal="center" vertical="center"/>
    </xf>
    <xf numFmtId="0" fontId="53" fillId="6" borderId="3" xfId="0" applyFont="1" applyFill="1" applyBorder="1" applyAlignment="1">
      <alignment horizontal="center" vertical="center"/>
    </xf>
    <xf numFmtId="167" fontId="53" fillId="6" borderId="3" xfId="0" applyNumberFormat="1" applyFont="1" applyFill="1" applyBorder="1" applyAlignment="1">
      <alignment horizontal="center" vertical="center"/>
    </xf>
    <xf numFmtId="49" fontId="53" fillId="6" borderId="5" xfId="0" applyNumberFormat="1" applyFont="1" applyFill="1" applyBorder="1" applyAlignment="1">
      <alignment horizontal="center" vertical="center"/>
    </xf>
    <xf numFmtId="49" fontId="53" fillId="6" borderId="6" xfId="0" applyNumberFormat="1" applyFont="1" applyFill="1" applyBorder="1" applyAlignment="1">
      <alignment horizontal="center" vertical="center"/>
    </xf>
    <xf numFmtId="0" fontId="53" fillId="3" borderId="5" xfId="0" applyFont="1" applyFill="1" applyBorder="1" applyAlignment="1">
      <alignment horizontal="center" vertical="center" wrapText="1"/>
    </xf>
    <xf numFmtId="0" fontId="53" fillId="3" borderId="6" xfId="0" applyFont="1" applyFill="1" applyBorder="1" applyAlignment="1">
      <alignment horizontal="center" vertical="center" wrapText="1"/>
    </xf>
    <xf numFmtId="0" fontId="53" fillId="6" borderId="5" xfId="0" applyFont="1" applyFill="1" applyBorder="1" applyAlignment="1">
      <alignment horizontal="center" vertical="center" wrapText="1"/>
    </xf>
    <xf numFmtId="0" fontId="53" fillId="6" borderId="6" xfId="0" applyFont="1" applyFill="1" applyBorder="1" applyAlignment="1">
      <alignment horizontal="center" vertical="center" wrapText="1"/>
    </xf>
    <xf numFmtId="0" fontId="53" fillId="6" borderId="5" xfId="0" applyFont="1" applyFill="1" applyBorder="1" applyAlignment="1">
      <alignment horizontal="center" vertical="center"/>
    </xf>
    <xf numFmtId="0" fontId="53" fillId="6" borderId="6" xfId="0" applyFont="1" applyFill="1" applyBorder="1" applyAlignment="1">
      <alignment horizontal="center" vertical="center"/>
    </xf>
    <xf numFmtId="0" fontId="52" fillId="7" borderId="5" xfId="0" applyFont="1" applyFill="1" applyBorder="1" applyAlignment="1">
      <alignment horizontal="center" vertical="top"/>
    </xf>
    <xf numFmtId="0" fontId="52" fillId="7" borderId="6" xfId="0" applyFont="1" applyFill="1" applyBorder="1" applyAlignment="1">
      <alignment horizontal="center" vertical="top"/>
    </xf>
    <xf numFmtId="164" fontId="53" fillId="6" borderId="5" xfId="0" applyNumberFormat="1" applyFont="1" applyFill="1" applyBorder="1" applyAlignment="1">
      <alignment horizontal="center" vertical="center"/>
    </xf>
    <xf numFmtId="164" fontId="53" fillId="6" borderId="6" xfId="0" applyNumberFormat="1" applyFont="1" applyFill="1" applyBorder="1" applyAlignment="1">
      <alignment horizontal="center" vertical="center"/>
    </xf>
    <xf numFmtId="167" fontId="53" fillId="6" borderId="5" xfId="0" applyNumberFormat="1" applyFont="1" applyFill="1" applyBorder="1" applyAlignment="1">
      <alignment horizontal="center" vertical="center"/>
    </xf>
    <xf numFmtId="167" fontId="53" fillId="6" borderId="6" xfId="0" applyNumberFormat="1" applyFont="1" applyFill="1" applyBorder="1" applyAlignment="1">
      <alignment horizontal="center" vertical="center"/>
    </xf>
    <xf numFmtId="14" fontId="53" fillId="6" borderId="5" xfId="0" applyNumberFormat="1" applyFont="1" applyFill="1" applyBorder="1" applyAlignment="1">
      <alignment horizontal="center" vertical="center"/>
    </xf>
    <xf numFmtId="14" fontId="53" fillId="6" borderId="6" xfId="0" applyNumberFormat="1" applyFont="1" applyFill="1" applyBorder="1" applyAlignment="1">
      <alignment horizontal="center" vertical="center"/>
    </xf>
    <xf numFmtId="14" fontId="53" fillId="6" borderId="3" xfId="0" applyNumberFormat="1" applyFont="1" applyFill="1" applyBorder="1" applyAlignment="1">
      <alignment horizontal="center" vertical="center"/>
    </xf>
    <xf numFmtId="0" fontId="53" fillId="6" borderId="13" xfId="0" applyFont="1" applyFill="1" applyBorder="1" applyAlignment="1">
      <alignment horizontal="center" vertical="center" wrapText="1"/>
    </xf>
    <xf numFmtId="0" fontId="53" fillId="6" borderId="14" xfId="0" applyFont="1" applyFill="1" applyBorder="1" applyAlignment="1">
      <alignment horizontal="center" vertical="center" wrapText="1"/>
    </xf>
    <xf numFmtId="168" fontId="53" fillId="6" borderId="3" xfId="0" applyNumberFormat="1" applyFont="1" applyFill="1" applyBorder="1" applyAlignment="1">
      <alignment horizontal="center" vertical="center"/>
    </xf>
    <xf numFmtId="167" fontId="53" fillId="6" borderId="15" xfId="0" applyNumberFormat="1" applyFont="1" applyFill="1" applyBorder="1" applyAlignment="1">
      <alignment horizontal="center" vertical="center"/>
    </xf>
    <xf numFmtId="167" fontId="53" fillId="6" borderId="16" xfId="0" applyNumberFormat="1" applyFont="1" applyFill="1" applyBorder="1" applyAlignment="1">
      <alignment horizontal="center" vertical="center"/>
    </xf>
    <xf numFmtId="164" fontId="53" fillId="6" borderId="12" xfId="0" applyNumberFormat="1" applyFont="1" applyFill="1" applyBorder="1" applyAlignment="1">
      <alignment horizontal="center" vertical="center"/>
    </xf>
    <xf numFmtId="164" fontId="53" fillId="6" borderId="17" xfId="0" applyNumberFormat="1" applyFont="1" applyFill="1" applyBorder="1" applyAlignment="1">
      <alignment horizontal="center" vertical="center"/>
    </xf>
    <xf numFmtId="164" fontId="53" fillId="6" borderId="18" xfId="0" applyNumberFormat="1" applyFont="1" applyFill="1" applyBorder="1" applyAlignment="1">
      <alignment horizontal="center" vertical="center"/>
    </xf>
    <xf numFmtId="164" fontId="53" fillId="6" borderId="15" xfId="0" applyNumberFormat="1" applyFont="1" applyFill="1" applyBorder="1" applyAlignment="1">
      <alignment horizontal="center" vertical="center"/>
    </xf>
    <xf numFmtId="164" fontId="53" fillId="6" borderId="16" xfId="0" applyNumberFormat="1" applyFont="1" applyFill="1" applyBorder="1" applyAlignment="1">
      <alignment horizontal="center" vertical="center"/>
    </xf>
    <xf numFmtId="49" fontId="53" fillId="6" borderId="3" xfId="0" applyNumberFormat="1" applyFont="1" applyFill="1" applyBorder="1" applyAlignment="1">
      <alignment horizontal="center" vertical="center"/>
    </xf>
    <xf numFmtId="0" fontId="53" fillId="3" borderId="3" xfId="0" applyFont="1" applyFill="1" applyBorder="1" applyAlignment="1">
      <alignment horizontal="center" vertical="center" wrapText="1"/>
    </xf>
    <xf numFmtId="0" fontId="53" fillId="6" borderId="3" xfId="0" applyFont="1" applyFill="1" applyBorder="1" applyAlignment="1">
      <alignment horizontal="center" vertical="center" wrapText="1"/>
    </xf>
    <xf numFmtId="0" fontId="53" fillId="7" borderId="3" xfId="0" applyFont="1" applyFill="1" applyBorder="1" applyAlignment="1">
      <alignment horizontal="center" vertical="center"/>
    </xf>
    <xf numFmtId="44" fontId="53" fillId="6" borderId="3" xfId="7" applyFont="1" applyFill="1" applyBorder="1" applyAlignment="1">
      <alignment horizontal="center" vertical="center" wrapText="1"/>
    </xf>
    <xf numFmtId="0" fontId="53" fillId="6" borderId="19" xfId="0" applyFont="1" applyFill="1" applyBorder="1" applyAlignment="1">
      <alignment horizontal="center" vertical="center" wrapText="1"/>
    </xf>
    <xf numFmtId="44" fontId="53" fillId="6" borderId="15" xfId="7" applyFont="1" applyFill="1" applyBorder="1" applyAlignment="1">
      <alignment horizontal="center" vertical="center" wrapText="1"/>
    </xf>
    <xf numFmtId="44" fontId="53" fillId="6" borderId="16" xfId="7" applyFont="1" applyFill="1" applyBorder="1" applyAlignment="1">
      <alignment horizontal="center" vertical="center" wrapText="1"/>
    </xf>
    <xf numFmtId="44" fontId="53" fillId="6" borderId="20" xfId="7" applyFont="1" applyFill="1" applyBorder="1" applyAlignment="1">
      <alignment horizontal="center" vertical="center" wrapText="1"/>
    </xf>
    <xf numFmtId="44" fontId="53" fillId="6" borderId="5" xfId="7" applyFont="1" applyFill="1" applyBorder="1" applyAlignment="1">
      <alignment horizontal="center" vertical="center" wrapText="1"/>
    </xf>
    <xf numFmtId="44" fontId="53" fillId="6" borderId="12" xfId="7" applyFont="1" applyFill="1" applyBorder="1" applyAlignment="1">
      <alignment horizontal="center" vertical="center" wrapText="1"/>
    </xf>
    <xf numFmtId="44" fontId="53" fillId="6" borderId="6" xfId="7" applyFont="1" applyFill="1" applyBorder="1" applyAlignment="1">
      <alignment horizontal="center" vertical="center" wrapText="1"/>
    </xf>
    <xf numFmtId="44" fontId="53" fillId="6" borderId="17" xfId="7" applyFont="1" applyFill="1" applyBorder="1" applyAlignment="1">
      <alignment horizontal="center" vertical="center" wrapText="1"/>
    </xf>
    <xf numFmtId="44" fontId="53" fillId="6" borderId="18" xfId="7" applyFont="1" applyFill="1" applyBorder="1" applyAlignment="1">
      <alignment horizontal="center" vertical="center" wrapText="1"/>
    </xf>
    <xf numFmtId="44" fontId="53" fillId="6" borderId="21" xfId="7" applyFont="1" applyFill="1" applyBorder="1" applyAlignment="1">
      <alignment horizontal="center" vertical="center" wrapText="1"/>
    </xf>
    <xf numFmtId="0" fontId="48" fillId="4" borderId="4" xfId="0" applyFont="1" applyFill="1" applyBorder="1" applyAlignment="1">
      <alignment horizontal="center"/>
    </xf>
    <xf numFmtId="0" fontId="48" fillId="4" borderId="7" xfId="0" applyFont="1" applyFill="1" applyBorder="1" applyAlignment="1">
      <alignment horizontal="center"/>
    </xf>
    <xf numFmtId="0" fontId="48" fillId="5" borderId="5" xfId="0" applyFont="1" applyFill="1" applyBorder="1" applyAlignment="1">
      <alignment horizontal="center"/>
    </xf>
    <xf numFmtId="164" fontId="48" fillId="5" borderId="5" xfId="0" applyNumberFormat="1" applyFont="1" applyFill="1" applyBorder="1" applyAlignment="1">
      <alignment horizontal="center"/>
    </xf>
    <xf numFmtId="0" fontId="48" fillId="4" borderId="5" xfId="0" applyFont="1" applyFill="1" applyBorder="1" applyAlignment="1">
      <alignment horizontal="center"/>
    </xf>
    <xf numFmtId="44" fontId="53" fillId="6" borderId="13" xfId="7" applyFont="1" applyFill="1" applyBorder="1" applyAlignment="1">
      <alignment horizontal="center" vertical="center" wrapText="1"/>
    </xf>
    <xf numFmtId="44" fontId="53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53" fillId="6" borderId="19" xfId="7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3" fillId="6" borderId="13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0" fontId="53" fillId="6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6" fillId="0" borderId="3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14" fontId="16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42917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3.8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26.4" x14ac:dyDescent="0.25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9.6" x14ac:dyDescent="0.25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9.6" x14ac:dyDescent="0.25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6.4" x14ac:dyDescent="0.25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6.4" x14ac:dyDescent="0.25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6.4" x14ac:dyDescent="0.25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4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4" x14ac:dyDescent="0.7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4" x14ac:dyDescent="0.3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3.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3.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3.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3.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43252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47.25" customHeight="1" x14ac:dyDescent="0.25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6.4" x14ac:dyDescent="0.25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6.4" x14ac:dyDescent="0.25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6.4" x14ac:dyDescent="0.25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6.4" x14ac:dyDescent="0.25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6.4" x14ac:dyDescent="0.25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9.6" x14ac:dyDescent="0.25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6.4" x14ac:dyDescent="0.25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9.6" x14ac:dyDescent="0.25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9.6" x14ac:dyDescent="0.25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9.6" x14ac:dyDescent="0.25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43282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47.25" customHeight="1" x14ac:dyDescent="0.25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9.6" x14ac:dyDescent="0.25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9.6" x14ac:dyDescent="0.25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9.6" x14ac:dyDescent="0.25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9.6" x14ac:dyDescent="0.25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9.6" x14ac:dyDescent="0.25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9.6" x14ac:dyDescent="0.25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6.4" x14ac:dyDescent="0.25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6.4" x14ac:dyDescent="0.25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6.4" x14ac:dyDescent="0.25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9.6" x14ac:dyDescent="0.25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9.6" x14ac:dyDescent="0.25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5">
      <c r="A22" s="170" t="s">
        <v>279</v>
      </c>
      <c r="B22" s="170" t="s">
        <v>279</v>
      </c>
      <c r="C22" s="172" t="s">
        <v>75</v>
      </c>
      <c r="D22" s="166" t="s">
        <v>104</v>
      </c>
      <c r="E22" s="168" t="s">
        <v>88</v>
      </c>
      <c r="F22" s="170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62">
        <v>0</v>
      </c>
      <c r="R22" s="158">
        <v>0</v>
      </c>
      <c r="S22" s="164">
        <v>0</v>
      </c>
      <c r="T22" s="158">
        <v>0</v>
      </c>
      <c r="U22" s="165">
        <f t="shared" si="1"/>
        <v>0</v>
      </c>
      <c r="V22" s="158">
        <f>P22+P23</f>
        <v>1406.06</v>
      </c>
      <c r="W22" s="159">
        <f t="shared" si="3"/>
        <v>1406.06</v>
      </c>
      <c r="X22" s="161"/>
    </row>
    <row r="23" spans="1:24" ht="38.25" customHeight="1" x14ac:dyDescent="0.25">
      <c r="A23" s="171"/>
      <c r="B23" s="171"/>
      <c r="C23" s="173"/>
      <c r="D23" s="167"/>
      <c r="E23" s="169"/>
      <c r="F23" s="171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63"/>
      <c r="R23" s="158"/>
      <c r="S23" s="164"/>
      <c r="T23" s="158"/>
      <c r="U23" s="165"/>
      <c r="V23" s="158"/>
      <c r="W23" s="160"/>
      <c r="X23" s="161"/>
    </row>
    <row r="24" spans="1:24" ht="43.5" customHeight="1" x14ac:dyDescent="0.25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43313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39.6" x14ac:dyDescent="0.25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6.4" x14ac:dyDescent="0.25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9.6" x14ac:dyDescent="0.25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9.6" x14ac:dyDescent="0.25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6.4" x14ac:dyDescent="0.25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9.6" x14ac:dyDescent="0.25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9.6" x14ac:dyDescent="0.25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9.6" x14ac:dyDescent="0.25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9.6" x14ac:dyDescent="0.25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9.6" x14ac:dyDescent="0.25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2.8" x14ac:dyDescent="0.25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6.4" x14ac:dyDescent="0.25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5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5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5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9.6" x14ac:dyDescent="0.25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6.4" x14ac:dyDescent="0.25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43344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39.6" x14ac:dyDescent="0.25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6.4" x14ac:dyDescent="0.25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5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9.6" x14ac:dyDescent="0.25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6.4" x14ac:dyDescent="0.25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9.6" x14ac:dyDescent="0.25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3.8" x14ac:dyDescent="0.25">
      <c r="A16" s="170" t="s">
        <v>250</v>
      </c>
      <c r="B16" s="170" t="s">
        <v>250</v>
      </c>
      <c r="C16" s="172" t="s">
        <v>319</v>
      </c>
      <c r="D16" s="166" t="s">
        <v>324</v>
      </c>
      <c r="E16" s="168" t="s">
        <v>87</v>
      </c>
      <c r="F16" s="170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80">
        <v>43356</v>
      </c>
      <c r="M16" s="180">
        <v>43357</v>
      </c>
      <c r="N16" s="31">
        <f>1465.14/2</f>
        <v>732.57</v>
      </c>
      <c r="O16" s="31"/>
      <c r="P16" s="176">
        <f>N16+O17</f>
        <v>1465.14</v>
      </c>
      <c r="Q16" s="172">
        <v>2</v>
      </c>
      <c r="R16" s="176">
        <v>120</v>
      </c>
      <c r="S16" s="172">
        <v>0</v>
      </c>
      <c r="T16" s="176">
        <v>0</v>
      </c>
      <c r="U16" s="178">
        <f t="shared" si="1"/>
        <v>240</v>
      </c>
      <c r="V16" s="176">
        <f t="shared" si="2"/>
        <v>1705.14</v>
      </c>
      <c r="W16" s="176">
        <f t="shared" si="3"/>
        <v>1705.14</v>
      </c>
      <c r="X16" s="174"/>
    </row>
    <row r="17" spans="1:24" ht="13.8" x14ac:dyDescent="0.25">
      <c r="A17" s="171"/>
      <c r="B17" s="171"/>
      <c r="C17" s="173"/>
      <c r="D17" s="167"/>
      <c r="E17" s="169"/>
      <c r="F17" s="171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81"/>
      <c r="M17" s="181"/>
      <c r="N17" s="31"/>
      <c r="O17" s="31">
        <f>1465.14/2</f>
        <v>732.57</v>
      </c>
      <c r="P17" s="177"/>
      <c r="Q17" s="173"/>
      <c r="R17" s="177"/>
      <c r="S17" s="173"/>
      <c r="T17" s="177"/>
      <c r="U17" s="179"/>
      <c r="V17" s="177"/>
      <c r="W17" s="177"/>
      <c r="X17" s="175"/>
    </row>
    <row r="18" spans="1:24" ht="39.6" x14ac:dyDescent="0.25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9.6" x14ac:dyDescent="0.25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43374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39.6" x14ac:dyDescent="0.25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9.6" x14ac:dyDescent="0.25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5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9.6" x14ac:dyDescent="0.25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9.6" x14ac:dyDescent="0.25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9.6" x14ac:dyDescent="0.25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9.6" x14ac:dyDescent="0.25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2.8" x14ac:dyDescent="0.25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5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6.4" x14ac:dyDescent="0.25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9.6" x14ac:dyDescent="0.25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9.6" x14ac:dyDescent="0.25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43405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26.4" x14ac:dyDescent="0.25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6.4" x14ac:dyDescent="0.25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5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9.6" x14ac:dyDescent="0.25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9.6" x14ac:dyDescent="0.25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9.6" x14ac:dyDescent="0.25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9.6" x14ac:dyDescent="0.25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9.6" x14ac:dyDescent="0.25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5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9.6" x14ac:dyDescent="0.25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6.4" x14ac:dyDescent="0.25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3.8" x14ac:dyDescent="0.25">
      <c r="A21" s="183" t="s">
        <v>372</v>
      </c>
      <c r="B21" s="183" t="s">
        <v>372</v>
      </c>
      <c r="C21" s="164" t="s">
        <v>75</v>
      </c>
      <c r="D21" s="193" t="s">
        <v>74</v>
      </c>
      <c r="E21" s="194" t="s">
        <v>88</v>
      </c>
      <c r="F21" s="195" t="s">
        <v>374</v>
      </c>
      <c r="G21" s="196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182">
        <v>43433</v>
      </c>
      <c r="M21" s="182">
        <v>43434</v>
      </c>
      <c r="N21" s="191">
        <f>1395.23/2</f>
        <v>697.61500000000001</v>
      </c>
      <c r="O21" s="189">
        <f>1395.23/2</f>
        <v>697.61500000000001</v>
      </c>
      <c r="P21" s="185">
        <f t="shared" si="0"/>
        <v>697.61500000000001</v>
      </c>
      <c r="Q21" s="164">
        <v>0</v>
      </c>
      <c r="R21" s="185">
        <v>0</v>
      </c>
      <c r="S21" s="164">
        <v>0</v>
      </c>
      <c r="T21" s="185">
        <v>0</v>
      </c>
      <c r="U21" s="186">
        <f t="shared" si="1"/>
        <v>0</v>
      </c>
      <c r="V21" s="176">
        <f t="shared" si="2"/>
        <v>697.61500000000001</v>
      </c>
      <c r="W21" s="189">
        <f t="shared" si="3"/>
        <v>697.61500000000001</v>
      </c>
      <c r="X21" s="182"/>
    </row>
    <row r="22" spans="1:24" ht="26.25" customHeight="1" x14ac:dyDescent="0.25">
      <c r="A22" s="184"/>
      <c r="B22" s="184"/>
      <c r="C22" s="164"/>
      <c r="D22" s="193"/>
      <c r="E22" s="194"/>
      <c r="F22" s="195"/>
      <c r="G22" s="196"/>
      <c r="H22" s="47" t="s">
        <v>38</v>
      </c>
      <c r="I22" s="45" t="s">
        <v>39</v>
      </c>
      <c r="J22" s="47" t="s">
        <v>111</v>
      </c>
      <c r="K22" s="45" t="s">
        <v>112</v>
      </c>
      <c r="L22" s="182"/>
      <c r="M22" s="182"/>
      <c r="N22" s="192"/>
      <c r="O22" s="190"/>
      <c r="P22" s="185">
        <f t="shared" si="0"/>
        <v>0</v>
      </c>
      <c r="Q22" s="164"/>
      <c r="R22" s="185"/>
      <c r="S22" s="164"/>
      <c r="T22" s="185"/>
      <c r="U22" s="187"/>
      <c r="V22" s="188"/>
      <c r="W22" s="190"/>
      <c r="X22" s="182"/>
    </row>
    <row r="23" spans="1:24" ht="39.6" x14ac:dyDescent="0.25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9.6" x14ac:dyDescent="0.25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9.6" x14ac:dyDescent="0.25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39.6" x14ac:dyDescent="0.25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43435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26.4" x14ac:dyDescent="0.25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6.4" x14ac:dyDescent="0.25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5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9.6" x14ac:dyDescent="0.25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9.6" x14ac:dyDescent="0.25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9.6" x14ac:dyDescent="0.25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43466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39.6" x14ac:dyDescent="0.25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9.6" x14ac:dyDescent="0.25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5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9.6" x14ac:dyDescent="0.25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9.6" x14ac:dyDescent="0.25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9.6" x14ac:dyDescent="0.25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6.4" x14ac:dyDescent="0.25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2.8" x14ac:dyDescent="0.25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5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6.4" x14ac:dyDescent="0.25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43497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39.6" x14ac:dyDescent="0.25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9.6" x14ac:dyDescent="0.25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5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6.4" x14ac:dyDescent="0.25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9.6" x14ac:dyDescent="0.25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9.6" x14ac:dyDescent="0.25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9.6" x14ac:dyDescent="0.25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9.6" x14ac:dyDescent="0.25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25"/>
  <cols>
    <col min="1" max="1" width="39" bestFit="1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43525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26.4" x14ac:dyDescent="0.25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9.6" x14ac:dyDescent="0.25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5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6.4" x14ac:dyDescent="0.25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6.4" x14ac:dyDescent="0.25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9.6" x14ac:dyDescent="0.25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6.4" x14ac:dyDescent="0.25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9.6" x14ac:dyDescent="0.25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6.4" x14ac:dyDescent="0.25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6.4" x14ac:dyDescent="0.25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42948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3.8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39.6" x14ac:dyDescent="0.25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6.4" x14ac:dyDescent="0.25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9.6" x14ac:dyDescent="0.25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9.6" x14ac:dyDescent="0.25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6.4" x14ac:dyDescent="0.25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6.4" x14ac:dyDescent="0.25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6.4" x14ac:dyDescent="0.25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9.6" x14ac:dyDescent="0.25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6.4" x14ac:dyDescent="0.25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6.4" x14ac:dyDescent="0.25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6.4" x14ac:dyDescent="0.25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6.4" x14ac:dyDescent="0.25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6.4" x14ac:dyDescent="0.25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25"/>
  <cols>
    <col min="1" max="1" width="39" bestFit="1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43556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26.4" x14ac:dyDescent="0.25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9.6" x14ac:dyDescent="0.25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25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6.4" x14ac:dyDescent="0.25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6.4" x14ac:dyDescent="0.25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6.4" x14ac:dyDescent="0.25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6.4" x14ac:dyDescent="0.25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 x14ac:dyDescent="0.25"/>
  <cols>
    <col min="1" max="1" width="39" bestFit="1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43586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26.4" x14ac:dyDescent="0.25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6.4" x14ac:dyDescent="0.25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25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6.4" x14ac:dyDescent="0.25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25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2.8" x14ac:dyDescent="0.25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9.6" x14ac:dyDescent="0.25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6.4" x14ac:dyDescent="0.25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6.4" x14ac:dyDescent="0.25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6.4" x14ac:dyDescent="0.25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6.4" x14ac:dyDescent="0.25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9.6" x14ac:dyDescent="0.25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6.4" x14ac:dyDescent="0.25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 x14ac:dyDescent="0.25"/>
  <cols>
    <col min="1" max="1" width="35.8984375" customWidth="1"/>
    <col min="2" max="2" width="34.199218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4.398437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43617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13.8" x14ac:dyDescent="0.25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3.8" x14ac:dyDescent="0.25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25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6.4" x14ac:dyDescent="0.25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25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6.4" x14ac:dyDescent="0.25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6.4" x14ac:dyDescent="0.25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25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3.8" x14ac:dyDescent="0.25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6.4" x14ac:dyDescent="0.25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6.4" x14ac:dyDescent="0.25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3.8" x14ac:dyDescent="0.25">
      <c r="A21" s="183" t="s">
        <v>250</v>
      </c>
      <c r="B21" s="183" t="s">
        <v>250</v>
      </c>
      <c r="C21" s="195" t="s">
        <v>319</v>
      </c>
      <c r="D21" s="193"/>
      <c r="E21" s="194"/>
      <c r="F21" s="195" t="s">
        <v>458</v>
      </c>
      <c r="G21" s="195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197">
        <f>3129.35/2</f>
        <v>1564.675</v>
      </c>
      <c r="O21" s="197">
        <f>3129.35/2</f>
        <v>1564.675</v>
      </c>
      <c r="P21" s="197">
        <v>1925.28</v>
      </c>
      <c r="Q21" s="195">
        <v>2</v>
      </c>
      <c r="R21" s="197">
        <v>120</v>
      </c>
      <c r="S21" s="197">
        <v>0</v>
      </c>
      <c r="T21" s="197">
        <v>0</v>
      </c>
      <c r="U21" s="199">
        <f t="shared" ref="U21" si="4">(Q21*R21)+(S21*T21)</f>
        <v>240</v>
      </c>
      <c r="V21" s="202">
        <f t="shared" ref="V21" si="5">U21+P21</f>
        <v>2165.2799999999997</v>
      </c>
      <c r="W21" s="205">
        <f t="shared" si="3"/>
        <v>2165.2799999999997</v>
      </c>
      <c r="X21" s="197"/>
    </row>
    <row r="22" spans="1:24" ht="13.8" x14ac:dyDescent="0.25">
      <c r="A22" s="198"/>
      <c r="B22" s="198"/>
      <c r="C22" s="195"/>
      <c r="D22" s="193"/>
      <c r="E22" s="194"/>
      <c r="F22" s="195"/>
      <c r="G22" s="195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197"/>
      <c r="O22" s="197"/>
      <c r="P22" s="197"/>
      <c r="Q22" s="195"/>
      <c r="R22" s="197"/>
      <c r="S22" s="197"/>
      <c r="T22" s="197"/>
      <c r="U22" s="200"/>
      <c r="V22" s="203"/>
      <c r="W22" s="206"/>
      <c r="X22" s="197"/>
    </row>
    <row r="23" spans="1:24" ht="15" customHeight="1" x14ac:dyDescent="0.25">
      <c r="A23" s="184"/>
      <c r="B23" s="184"/>
      <c r="C23" s="195"/>
      <c r="D23" s="193"/>
      <c r="E23" s="194"/>
      <c r="F23" s="195"/>
      <c r="G23" s="195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197"/>
      <c r="O23" s="197"/>
      <c r="P23" s="197"/>
      <c r="Q23" s="195"/>
      <c r="R23" s="197"/>
      <c r="S23" s="197"/>
      <c r="T23" s="197"/>
      <c r="U23" s="201"/>
      <c r="V23" s="204"/>
      <c r="W23" s="207"/>
      <c r="X23" s="197"/>
    </row>
    <row r="24" spans="1:24" ht="45" customHeight="1" x14ac:dyDescent="0.25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9.6" x14ac:dyDescent="0.25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9.6" x14ac:dyDescent="0.25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9.6" x14ac:dyDescent="0.25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9.6" x14ac:dyDescent="0.25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9.6" x14ac:dyDescent="0.25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72">
        <v>43586</v>
      </c>
    </row>
    <row r="6" spans="1:47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47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208" t="s">
        <v>9</v>
      </c>
    </row>
    <row r="8" spans="1:47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208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209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6.4" x14ac:dyDescent="0.25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6.4" x14ac:dyDescent="0.25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6.4" x14ac:dyDescent="0.25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9.6" x14ac:dyDescent="0.25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6.4" x14ac:dyDescent="0.25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6.4" x14ac:dyDescent="0.25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9.6" x14ac:dyDescent="0.25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9.6" x14ac:dyDescent="0.25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25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6.4" x14ac:dyDescent="0.25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6.4" x14ac:dyDescent="0.25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6.4" x14ac:dyDescent="0.25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6.4" x14ac:dyDescent="0.25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9.6" x14ac:dyDescent="0.25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6.4" x14ac:dyDescent="0.25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25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2.8" x14ac:dyDescent="0.25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6.4" x14ac:dyDescent="0.25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6.4" x14ac:dyDescent="0.25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6.4" x14ac:dyDescent="0.25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6.4" x14ac:dyDescent="0.25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6.4" x14ac:dyDescent="0.25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9.6" x14ac:dyDescent="0.25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6.4" x14ac:dyDescent="0.25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6.4" x14ac:dyDescent="0.25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6.4" x14ac:dyDescent="0.25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9.6" x14ac:dyDescent="0.25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2.8" x14ac:dyDescent="0.25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72">
        <v>43586</v>
      </c>
    </row>
    <row r="6" spans="1:47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47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208" t="s">
        <v>9</v>
      </c>
    </row>
    <row r="8" spans="1:47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208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209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6.4" x14ac:dyDescent="0.25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6.4" x14ac:dyDescent="0.25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9.6" x14ac:dyDescent="0.25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6.4" x14ac:dyDescent="0.25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9.6" x14ac:dyDescent="0.25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6.4" x14ac:dyDescent="0.25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6.4" x14ac:dyDescent="0.25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6.4" x14ac:dyDescent="0.25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5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6.4" x14ac:dyDescent="0.25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6.4" x14ac:dyDescent="0.25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6.4" x14ac:dyDescent="0.25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6.4" x14ac:dyDescent="0.25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6.4" x14ac:dyDescent="0.25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6.4" x14ac:dyDescent="0.25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25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ht="14.4" x14ac:dyDescent="0.25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ht="14.4" x14ac:dyDescent="0.25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ht="14.4" x14ac:dyDescent="0.25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ht="14.4" x14ac:dyDescent="0.25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ht="14.4" x14ac:dyDescent="0.25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ht="14.4" x14ac:dyDescent="0.25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ht="14.4" x14ac:dyDescent="0.25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ht="14.4" x14ac:dyDescent="0.25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4" x14ac:dyDescent="0.25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4" x14ac:dyDescent="0.25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4" x14ac:dyDescent="0.25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4" x14ac:dyDescent="0.25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72">
        <v>43586</v>
      </c>
    </row>
    <row r="6" spans="1:47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47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208" t="s">
        <v>9</v>
      </c>
    </row>
    <row r="8" spans="1:47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208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209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9.6" x14ac:dyDescent="0.3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2.8" x14ac:dyDescent="0.25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6.4" x14ac:dyDescent="0.3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8.8" x14ac:dyDescent="0.25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6.4" x14ac:dyDescent="0.25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9.6" x14ac:dyDescent="0.25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6.4" x14ac:dyDescent="0.25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6.4" x14ac:dyDescent="0.25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5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9.6" x14ac:dyDescent="0.25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8.8" x14ac:dyDescent="0.25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6.4" x14ac:dyDescent="0.25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6.4" x14ac:dyDescent="0.25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6.4" x14ac:dyDescent="0.25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6.4" x14ac:dyDescent="0.25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6.4" x14ac:dyDescent="0.25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2.8" x14ac:dyDescent="0.25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6.4" x14ac:dyDescent="0.25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6.4" x14ac:dyDescent="0.25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6.4" x14ac:dyDescent="0.25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6.4" x14ac:dyDescent="0.25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6.4" x14ac:dyDescent="0.25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6.4" x14ac:dyDescent="0.25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ht="14.4" x14ac:dyDescent="0.25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4" x14ac:dyDescent="0.25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4" x14ac:dyDescent="0.25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4" x14ac:dyDescent="0.25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4" x14ac:dyDescent="0.25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20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72">
        <v>43586</v>
      </c>
    </row>
    <row r="6" spans="1:46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46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208" t="s">
        <v>9</v>
      </c>
    </row>
    <row r="8" spans="1:46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208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209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6.4" x14ac:dyDescent="0.25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6.4" x14ac:dyDescent="0.25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6.4" x14ac:dyDescent="0.3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6.4" x14ac:dyDescent="0.25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6.4" x14ac:dyDescent="0.25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14.4" x14ac:dyDescent="0.25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6.4" x14ac:dyDescent="0.25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6.4" x14ac:dyDescent="0.25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25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6.4" x14ac:dyDescent="0.25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9.6" x14ac:dyDescent="0.25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ht="14.4" x14ac:dyDescent="0.25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6.4" x14ac:dyDescent="0.25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6.4" x14ac:dyDescent="0.25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6.4" x14ac:dyDescent="0.25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6.4" x14ac:dyDescent="0.25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ht="14.4" x14ac:dyDescent="0.25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6.4" x14ac:dyDescent="0.25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20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72">
        <v>43586</v>
      </c>
    </row>
    <row r="6" spans="1:46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46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208" t="s">
        <v>9</v>
      </c>
    </row>
    <row r="8" spans="1:46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208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209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14.4" x14ac:dyDescent="0.25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14.4" x14ac:dyDescent="0.25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6.4" x14ac:dyDescent="0.3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6.4" x14ac:dyDescent="0.25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6.4" x14ac:dyDescent="0.25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6.4" x14ac:dyDescent="0.25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6.4" x14ac:dyDescent="0.25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 x14ac:dyDescent="0.25"/>
  <cols>
    <col min="1" max="1" width="38.3984375" customWidth="1"/>
    <col min="2" max="2" width="41.3984375" customWidth="1"/>
    <col min="3" max="3" width="46" bestFit="1" customWidth="1"/>
    <col min="4" max="4" width="35.09765625" customWidth="1"/>
    <col min="5" max="5" width="20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72">
        <v>43586</v>
      </c>
    </row>
    <row r="6" spans="1:46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46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208" t="s">
        <v>9</v>
      </c>
    </row>
    <row r="8" spans="1:46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208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209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6.4" x14ac:dyDescent="0.25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6.4" x14ac:dyDescent="0.25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6.4" x14ac:dyDescent="0.3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6.4" x14ac:dyDescent="0.25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156"/>
      <c r="B4" s="156"/>
      <c r="C4" s="156"/>
      <c r="D4" s="156"/>
      <c r="E4" s="156"/>
      <c r="F4" s="156"/>
      <c r="G4" s="156"/>
      <c r="H4" s="10" t="s">
        <v>27</v>
      </c>
      <c r="I4" s="10" t="s">
        <v>28</v>
      </c>
      <c r="J4" s="10" t="s">
        <v>27</v>
      </c>
      <c r="K4" s="11" t="s">
        <v>29</v>
      </c>
      <c r="L4" s="156"/>
      <c r="M4" s="156"/>
      <c r="N4" s="157"/>
      <c r="O4" s="157"/>
      <c r="P4" s="157"/>
      <c r="Q4" s="10" t="s">
        <v>2</v>
      </c>
      <c r="R4" s="11" t="s">
        <v>30</v>
      </c>
      <c r="S4" s="10" t="s">
        <v>2</v>
      </c>
      <c r="T4" s="11" t="s">
        <v>30</v>
      </c>
      <c r="U4" s="156"/>
      <c r="V4" s="157"/>
      <c r="W4" s="155"/>
      <c r="X4" s="209"/>
    </row>
    <row r="5" spans="1:24" ht="26.4" x14ac:dyDescent="0.25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26.4" x14ac:dyDescent="0.25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6.4" x14ac:dyDescent="0.25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6.4" x14ac:dyDescent="0.25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9.6" x14ac:dyDescent="0.25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9.6" x14ac:dyDescent="0.25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6.4" x14ac:dyDescent="0.25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6.4" x14ac:dyDescent="0.25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25">
      <c r="Q18" s="93"/>
    </row>
    <row r="19" spans="3:17" x14ac:dyDescent="0.25">
      <c r="Q19" s="93"/>
    </row>
    <row r="20" spans="3:17" x14ac:dyDescent="0.25">
      <c r="Q20" s="93"/>
    </row>
    <row r="21" spans="3:17" x14ac:dyDescent="0.25">
      <c r="Q21" s="93"/>
    </row>
    <row r="23" spans="3:17" ht="26.4" x14ac:dyDescent="0.25">
      <c r="C23" s="29"/>
      <c r="D23" s="20" t="s">
        <v>561</v>
      </c>
    </row>
    <row r="24" spans="3:17" ht="52.8" x14ac:dyDescent="0.25">
      <c r="C24" s="87"/>
      <c r="D24" s="88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42979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3.8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52.8" x14ac:dyDescent="0.25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9.6" x14ac:dyDescent="0.25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9.6" x14ac:dyDescent="0.25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6.4" x14ac:dyDescent="0.25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6.4" x14ac:dyDescent="0.25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9.6" x14ac:dyDescent="0.25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6.4" x14ac:dyDescent="0.25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9.6" x14ac:dyDescent="0.25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6.4" x14ac:dyDescent="0.25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6.4" x14ac:dyDescent="0.25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6.4" x14ac:dyDescent="0.25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6.4" x14ac:dyDescent="0.25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6.4" x14ac:dyDescent="0.25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6.4" x14ac:dyDescent="0.25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6.4" x14ac:dyDescent="0.25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9.6" x14ac:dyDescent="0.25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6.4" x14ac:dyDescent="0.25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156"/>
      <c r="B4" s="156"/>
      <c r="C4" s="156"/>
      <c r="D4" s="156"/>
      <c r="E4" s="156"/>
      <c r="F4" s="156"/>
      <c r="G4" s="156"/>
      <c r="H4" s="10" t="s">
        <v>27</v>
      </c>
      <c r="I4" s="10" t="s">
        <v>28</v>
      </c>
      <c r="J4" s="10" t="s">
        <v>27</v>
      </c>
      <c r="K4" s="11" t="s">
        <v>29</v>
      </c>
      <c r="L4" s="156"/>
      <c r="M4" s="156"/>
      <c r="N4" s="157"/>
      <c r="O4" s="157"/>
      <c r="P4" s="157"/>
      <c r="Q4" s="10" t="s">
        <v>2</v>
      </c>
      <c r="R4" s="11" t="s">
        <v>30</v>
      </c>
      <c r="S4" s="10" t="s">
        <v>2</v>
      </c>
      <c r="T4" s="11" t="s">
        <v>30</v>
      </c>
      <c r="U4" s="156"/>
      <c r="V4" s="157"/>
      <c r="W4" s="155"/>
      <c r="X4" s="209"/>
    </row>
    <row r="5" spans="1:24" ht="26.4" x14ac:dyDescent="0.25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9.6" x14ac:dyDescent="0.25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9.6" x14ac:dyDescent="0.25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25">
      <c r="Q13" s="93"/>
    </row>
    <row r="14" spans="1:24" x14ac:dyDescent="0.25">
      <c r="Q14" s="93"/>
    </row>
    <row r="15" spans="1:24" x14ac:dyDescent="0.25">
      <c r="Q15" s="93"/>
    </row>
    <row r="16" spans="1:24" x14ac:dyDescent="0.25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156"/>
      <c r="B4" s="156"/>
      <c r="C4" s="156"/>
      <c r="D4" s="156"/>
      <c r="E4" s="156"/>
      <c r="F4" s="156"/>
      <c r="G4" s="156"/>
      <c r="H4" s="10" t="s">
        <v>27</v>
      </c>
      <c r="I4" s="10" t="s">
        <v>28</v>
      </c>
      <c r="J4" s="10" t="s">
        <v>27</v>
      </c>
      <c r="K4" s="11" t="s">
        <v>29</v>
      </c>
      <c r="L4" s="156"/>
      <c r="M4" s="156"/>
      <c r="N4" s="157"/>
      <c r="O4" s="157"/>
      <c r="P4" s="157"/>
      <c r="Q4" s="10" t="s">
        <v>2</v>
      </c>
      <c r="R4" s="11" t="s">
        <v>30</v>
      </c>
      <c r="S4" s="10" t="s">
        <v>2</v>
      </c>
      <c r="T4" s="11" t="s">
        <v>30</v>
      </c>
      <c r="U4" s="156"/>
      <c r="V4" s="157"/>
      <c r="W4" s="155"/>
      <c r="X4" s="209"/>
    </row>
    <row r="5" spans="1:24" ht="14.4" x14ac:dyDescent="0.25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" x14ac:dyDescent="0.25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" x14ac:dyDescent="0.25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" x14ac:dyDescent="0.25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" x14ac:dyDescent="0.25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4" x14ac:dyDescent="0.25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4" x14ac:dyDescent="0.25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4" x14ac:dyDescent="0.25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5">
      <c r="Q18" s="93"/>
    </row>
    <row r="19" spans="17:17" x14ac:dyDescent="0.25">
      <c r="Q19" s="93"/>
    </row>
    <row r="20" spans="17:17" x14ac:dyDescent="0.25">
      <c r="Q20" s="93"/>
    </row>
    <row r="21" spans="17:17" x14ac:dyDescent="0.25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156"/>
      <c r="B4" s="156"/>
      <c r="C4" s="156"/>
      <c r="D4" s="156"/>
      <c r="E4" s="156"/>
      <c r="F4" s="156"/>
      <c r="G4" s="156"/>
      <c r="H4" s="10" t="s">
        <v>27</v>
      </c>
      <c r="I4" s="10" t="s">
        <v>28</v>
      </c>
      <c r="J4" s="10" t="s">
        <v>27</v>
      </c>
      <c r="K4" s="11" t="s">
        <v>29</v>
      </c>
      <c r="L4" s="156"/>
      <c r="M4" s="156"/>
      <c r="N4" s="157"/>
      <c r="O4" s="157"/>
      <c r="P4" s="157"/>
      <c r="Q4" s="10" t="s">
        <v>2</v>
      </c>
      <c r="R4" s="11" t="s">
        <v>30</v>
      </c>
      <c r="S4" s="10" t="s">
        <v>2</v>
      </c>
      <c r="T4" s="11" t="s">
        <v>30</v>
      </c>
      <c r="U4" s="156"/>
      <c r="V4" s="157"/>
      <c r="W4" s="155"/>
      <c r="X4" s="209"/>
    </row>
    <row r="5" spans="1:24" ht="14.4" x14ac:dyDescent="0.25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" x14ac:dyDescent="0.25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" x14ac:dyDescent="0.25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" x14ac:dyDescent="0.25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" x14ac:dyDescent="0.25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4" x14ac:dyDescent="0.25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4" x14ac:dyDescent="0.25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4" x14ac:dyDescent="0.25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5">
      <c r="Q18" s="93"/>
    </row>
    <row r="19" spans="17:17" x14ac:dyDescent="0.25">
      <c r="Q19" s="93"/>
    </row>
    <row r="20" spans="17:17" x14ac:dyDescent="0.25">
      <c r="Q20" s="93"/>
    </row>
    <row r="21" spans="17:17" x14ac:dyDescent="0.25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156"/>
      <c r="B4" s="156"/>
      <c r="C4" s="156"/>
      <c r="D4" s="156"/>
      <c r="E4" s="156"/>
      <c r="F4" s="156"/>
      <c r="G4" s="156"/>
      <c r="H4" s="10" t="s">
        <v>27</v>
      </c>
      <c r="I4" s="10" t="s">
        <v>28</v>
      </c>
      <c r="J4" s="10" t="s">
        <v>27</v>
      </c>
      <c r="K4" s="11" t="s">
        <v>29</v>
      </c>
      <c r="L4" s="156"/>
      <c r="M4" s="156"/>
      <c r="N4" s="157"/>
      <c r="O4" s="157"/>
      <c r="P4" s="157"/>
      <c r="Q4" s="10" t="s">
        <v>2</v>
      </c>
      <c r="R4" s="11" t="s">
        <v>30</v>
      </c>
      <c r="S4" s="10" t="s">
        <v>2</v>
      </c>
      <c r="T4" s="11" t="s">
        <v>30</v>
      </c>
      <c r="U4" s="156"/>
      <c r="V4" s="157"/>
      <c r="W4" s="155"/>
      <c r="X4" s="209"/>
    </row>
    <row r="5" spans="1:24" ht="14.4" x14ac:dyDescent="0.25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" x14ac:dyDescent="0.25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" x14ac:dyDescent="0.25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" x14ac:dyDescent="0.25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" x14ac:dyDescent="0.25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4" x14ac:dyDescent="0.25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4" x14ac:dyDescent="0.25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4" x14ac:dyDescent="0.25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5">
      <c r="Q18" s="93"/>
    </row>
    <row r="19" spans="17:17" x14ac:dyDescent="0.25">
      <c r="Q19" s="93"/>
    </row>
    <row r="20" spans="17:17" x14ac:dyDescent="0.25">
      <c r="Q20" s="93"/>
    </row>
    <row r="21" spans="17:17" x14ac:dyDescent="0.25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156"/>
      <c r="B4" s="156"/>
      <c r="C4" s="156"/>
      <c r="D4" s="156"/>
      <c r="E4" s="156"/>
      <c r="F4" s="156"/>
      <c r="G4" s="156"/>
      <c r="H4" s="10" t="s">
        <v>27</v>
      </c>
      <c r="I4" s="10" t="s">
        <v>28</v>
      </c>
      <c r="J4" s="10" t="s">
        <v>27</v>
      </c>
      <c r="K4" s="11" t="s">
        <v>29</v>
      </c>
      <c r="L4" s="156"/>
      <c r="M4" s="156"/>
      <c r="N4" s="157"/>
      <c r="O4" s="157"/>
      <c r="P4" s="157"/>
      <c r="Q4" s="10" t="s">
        <v>2</v>
      </c>
      <c r="R4" s="11" t="s">
        <v>30</v>
      </c>
      <c r="S4" s="10" t="s">
        <v>2</v>
      </c>
      <c r="T4" s="11" t="s">
        <v>30</v>
      </c>
      <c r="U4" s="156"/>
      <c r="V4" s="157"/>
      <c r="W4" s="155"/>
      <c r="X4" s="209"/>
    </row>
    <row r="5" spans="1:24" ht="14.4" x14ac:dyDescent="0.25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" x14ac:dyDescent="0.25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" x14ac:dyDescent="0.25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" x14ac:dyDescent="0.25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" x14ac:dyDescent="0.25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4" x14ac:dyDescent="0.25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4" x14ac:dyDescent="0.25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4" x14ac:dyDescent="0.25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5">
      <c r="Q18" s="93"/>
    </row>
    <row r="19" spans="17:17" x14ac:dyDescent="0.25">
      <c r="Q19" s="93"/>
    </row>
    <row r="20" spans="17:17" x14ac:dyDescent="0.25">
      <c r="Q20" s="93"/>
    </row>
    <row r="21" spans="17:17" x14ac:dyDescent="0.25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156"/>
      <c r="B4" s="156"/>
      <c r="C4" s="156"/>
      <c r="D4" s="156"/>
      <c r="E4" s="156"/>
      <c r="F4" s="156"/>
      <c r="G4" s="156"/>
      <c r="H4" s="10" t="s">
        <v>27</v>
      </c>
      <c r="I4" s="10" t="s">
        <v>28</v>
      </c>
      <c r="J4" s="10" t="s">
        <v>27</v>
      </c>
      <c r="K4" s="11" t="s">
        <v>29</v>
      </c>
      <c r="L4" s="156"/>
      <c r="M4" s="156"/>
      <c r="N4" s="157"/>
      <c r="O4" s="157"/>
      <c r="P4" s="157"/>
      <c r="Q4" s="10" t="s">
        <v>2</v>
      </c>
      <c r="R4" s="11" t="s">
        <v>30</v>
      </c>
      <c r="S4" s="10" t="s">
        <v>2</v>
      </c>
      <c r="T4" s="11" t="s">
        <v>30</v>
      </c>
      <c r="U4" s="156"/>
      <c r="V4" s="157"/>
      <c r="W4" s="155"/>
      <c r="X4" s="209"/>
    </row>
    <row r="5" spans="1:24" ht="14.4" x14ac:dyDescent="0.25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" x14ac:dyDescent="0.25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" x14ac:dyDescent="0.25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" x14ac:dyDescent="0.25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" x14ac:dyDescent="0.25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4" x14ac:dyDescent="0.25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4" x14ac:dyDescent="0.25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4" x14ac:dyDescent="0.25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5">
      <c r="Q18" s="93"/>
    </row>
    <row r="19" spans="17:17" x14ac:dyDescent="0.25">
      <c r="Q19" s="93"/>
    </row>
    <row r="20" spans="17:17" x14ac:dyDescent="0.25">
      <c r="Q20" s="93"/>
    </row>
    <row r="21" spans="17:17" x14ac:dyDescent="0.25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156"/>
      <c r="B4" s="156"/>
      <c r="C4" s="156"/>
      <c r="D4" s="156"/>
      <c r="E4" s="156"/>
      <c r="F4" s="156"/>
      <c r="G4" s="156"/>
      <c r="H4" s="10" t="s">
        <v>27</v>
      </c>
      <c r="I4" s="10" t="s">
        <v>28</v>
      </c>
      <c r="J4" s="10" t="s">
        <v>27</v>
      </c>
      <c r="K4" s="11" t="s">
        <v>29</v>
      </c>
      <c r="L4" s="156"/>
      <c r="M4" s="156"/>
      <c r="N4" s="157"/>
      <c r="O4" s="157"/>
      <c r="P4" s="157"/>
      <c r="Q4" s="10" t="s">
        <v>2</v>
      </c>
      <c r="R4" s="11" t="s">
        <v>30</v>
      </c>
      <c r="S4" s="10" t="s">
        <v>2</v>
      </c>
      <c r="T4" s="11" t="s">
        <v>30</v>
      </c>
      <c r="U4" s="156"/>
      <c r="V4" s="157"/>
      <c r="W4" s="155"/>
      <c r="X4" s="209"/>
    </row>
    <row r="5" spans="1:24" ht="14.4" x14ac:dyDescent="0.25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" x14ac:dyDescent="0.25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" x14ac:dyDescent="0.25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" x14ac:dyDescent="0.25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" x14ac:dyDescent="0.25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4" x14ac:dyDescent="0.25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4" x14ac:dyDescent="0.25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4" x14ac:dyDescent="0.25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5">
      <c r="Q18" s="93"/>
    </row>
    <row r="19" spans="17:17" x14ac:dyDescent="0.25">
      <c r="Q19" s="93"/>
    </row>
    <row r="20" spans="17:17" x14ac:dyDescent="0.25">
      <c r="Q20" s="93"/>
    </row>
    <row r="21" spans="17:17" x14ac:dyDescent="0.25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156"/>
      <c r="B4" s="156"/>
      <c r="C4" s="156"/>
      <c r="D4" s="156"/>
      <c r="E4" s="156"/>
      <c r="F4" s="156"/>
      <c r="G4" s="156"/>
      <c r="H4" s="10" t="s">
        <v>27</v>
      </c>
      <c r="I4" s="10" t="s">
        <v>28</v>
      </c>
      <c r="J4" s="10" t="s">
        <v>27</v>
      </c>
      <c r="K4" s="11" t="s">
        <v>29</v>
      </c>
      <c r="L4" s="156"/>
      <c r="M4" s="156"/>
      <c r="N4" s="157"/>
      <c r="O4" s="157"/>
      <c r="P4" s="157"/>
      <c r="Q4" s="10" t="s">
        <v>2</v>
      </c>
      <c r="R4" s="11" t="s">
        <v>30</v>
      </c>
      <c r="S4" s="10" t="s">
        <v>2</v>
      </c>
      <c r="T4" s="11" t="s">
        <v>30</v>
      </c>
      <c r="U4" s="156"/>
      <c r="V4" s="157"/>
      <c r="W4" s="155"/>
      <c r="X4" s="209"/>
    </row>
    <row r="5" spans="1:24" ht="52.8" x14ac:dyDescent="0.25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6.4" x14ac:dyDescent="0.25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  <row r="15" spans="1:24" x14ac:dyDescent="0.25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156"/>
      <c r="B4" s="156"/>
      <c r="C4" s="156"/>
      <c r="D4" s="156"/>
      <c r="E4" s="156"/>
      <c r="F4" s="156"/>
      <c r="G4" s="156"/>
      <c r="H4" s="10" t="s">
        <v>27</v>
      </c>
      <c r="I4" s="10" t="s">
        <v>28</v>
      </c>
      <c r="J4" s="10" t="s">
        <v>27</v>
      </c>
      <c r="K4" s="11" t="s">
        <v>29</v>
      </c>
      <c r="L4" s="156"/>
      <c r="M4" s="156"/>
      <c r="N4" s="157"/>
      <c r="O4" s="157"/>
      <c r="P4" s="157"/>
      <c r="Q4" s="10" t="s">
        <v>2</v>
      </c>
      <c r="R4" s="11" t="s">
        <v>30</v>
      </c>
      <c r="S4" s="10" t="s">
        <v>2</v>
      </c>
      <c r="T4" s="11" t="s">
        <v>30</v>
      </c>
      <c r="U4" s="156"/>
      <c r="V4" s="157"/>
      <c r="W4" s="155"/>
      <c r="X4" s="209"/>
    </row>
    <row r="5" spans="1:24" ht="26.4" x14ac:dyDescent="0.25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156"/>
      <c r="B4" s="156"/>
      <c r="C4" s="156"/>
      <c r="D4" s="156"/>
      <c r="E4" s="156"/>
      <c r="F4" s="156"/>
      <c r="G4" s="156"/>
      <c r="H4" s="10" t="s">
        <v>27</v>
      </c>
      <c r="I4" s="10" t="s">
        <v>28</v>
      </c>
      <c r="J4" s="10" t="s">
        <v>27</v>
      </c>
      <c r="K4" s="11" t="s">
        <v>29</v>
      </c>
      <c r="L4" s="156"/>
      <c r="M4" s="156"/>
      <c r="N4" s="157"/>
      <c r="O4" s="157"/>
      <c r="P4" s="157"/>
      <c r="Q4" s="10" t="s">
        <v>2</v>
      </c>
      <c r="R4" s="11" t="s">
        <v>30</v>
      </c>
      <c r="S4" s="10" t="s">
        <v>2</v>
      </c>
      <c r="T4" s="11" t="s">
        <v>30</v>
      </c>
      <c r="U4" s="156"/>
      <c r="V4" s="157"/>
      <c r="W4" s="155"/>
      <c r="X4" s="209"/>
    </row>
    <row r="5" spans="1:24" ht="14.4" x14ac:dyDescent="0.25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43009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3.8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26.4" x14ac:dyDescent="0.25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6.4" x14ac:dyDescent="0.25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6.4" x14ac:dyDescent="0.25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6.4" x14ac:dyDescent="0.25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6.4" x14ac:dyDescent="0.25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6.4" x14ac:dyDescent="0.25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9.6" x14ac:dyDescent="0.25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9.6" x14ac:dyDescent="0.25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6.4" x14ac:dyDescent="0.25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6.4" x14ac:dyDescent="0.25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6.4" x14ac:dyDescent="0.25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6.4" x14ac:dyDescent="0.25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6.4" x14ac:dyDescent="0.25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2.8" x14ac:dyDescent="0.25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9.6" x14ac:dyDescent="0.25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6.4" x14ac:dyDescent="0.25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6.4" x14ac:dyDescent="0.25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6.4" x14ac:dyDescent="0.25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6.4" x14ac:dyDescent="0.25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6.4" x14ac:dyDescent="0.25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9.6" x14ac:dyDescent="0.25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6.4" x14ac:dyDescent="0.25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6.4" x14ac:dyDescent="0.25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156"/>
      <c r="B4" s="156"/>
      <c r="C4" s="156"/>
      <c r="D4" s="156"/>
      <c r="E4" s="156"/>
      <c r="F4" s="156"/>
      <c r="G4" s="156"/>
      <c r="H4" s="10" t="s">
        <v>27</v>
      </c>
      <c r="I4" s="10" t="s">
        <v>28</v>
      </c>
      <c r="J4" s="10" t="s">
        <v>27</v>
      </c>
      <c r="K4" s="11" t="s">
        <v>29</v>
      </c>
      <c r="L4" s="156"/>
      <c r="M4" s="156"/>
      <c r="N4" s="157"/>
      <c r="O4" s="157"/>
      <c r="P4" s="157"/>
      <c r="Q4" s="10" t="s">
        <v>2</v>
      </c>
      <c r="R4" s="11" t="s">
        <v>30</v>
      </c>
      <c r="S4" s="10" t="s">
        <v>2</v>
      </c>
      <c r="T4" s="11" t="s">
        <v>30</v>
      </c>
      <c r="U4" s="156"/>
      <c r="V4" s="157"/>
      <c r="W4" s="155"/>
      <c r="X4" s="209"/>
    </row>
    <row r="5" spans="1:24" ht="14.4" x14ac:dyDescent="0.25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156"/>
      <c r="B4" s="156"/>
      <c r="C4" s="156"/>
      <c r="D4" s="156"/>
      <c r="E4" s="156"/>
      <c r="F4" s="156"/>
      <c r="G4" s="156"/>
      <c r="H4" s="10" t="s">
        <v>27</v>
      </c>
      <c r="I4" s="10" t="s">
        <v>28</v>
      </c>
      <c r="J4" s="10" t="s">
        <v>27</v>
      </c>
      <c r="K4" s="11" t="s">
        <v>29</v>
      </c>
      <c r="L4" s="156"/>
      <c r="M4" s="156"/>
      <c r="N4" s="157"/>
      <c r="O4" s="157"/>
      <c r="P4" s="157"/>
      <c r="Q4" s="10" t="s">
        <v>2</v>
      </c>
      <c r="R4" s="11" t="s">
        <v>30</v>
      </c>
      <c r="S4" s="10" t="s">
        <v>2</v>
      </c>
      <c r="T4" s="11" t="s">
        <v>30</v>
      </c>
      <c r="U4" s="156"/>
      <c r="V4" s="157"/>
      <c r="W4" s="155"/>
      <c r="X4" s="209"/>
    </row>
    <row r="5" spans="1:24" ht="14.4" x14ac:dyDescent="0.25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51.398437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x14ac:dyDescent="0.25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25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25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25">
      <c r="Q13" s="93"/>
    </row>
    <row r="14" spans="1:24" x14ac:dyDescent="0.25">
      <c r="Q14" s="93"/>
    </row>
    <row r="15" spans="1:24" x14ac:dyDescent="0.25">
      <c r="Q15" s="93"/>
    </row>
    <row r="16" spans="1:24" x14ac:dyDescent="0.25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55.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4.4" x14ac:dyDescent="0.25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4.4" x14ac:dyDescent="0.25">
      <c r="A7" s="217" t="s">
        <v>250</v>
      </c>
      <c r="B7" s="217" t="s">
        <v>258</v>
      </c>
      <c r="C7" s="217" t="s">
        <v>183</v>
      </c>
      <c r="D7" s="217">
        <v>119</v>
      </c>
      <c r="E7" s="220" t="s">
        <v>591</v>
      </c>
      <c r="F7" s="217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221">
        <v>0</v>
      </c>
      <c r="O7" s="221">
        <v>0</v>
      </c>
      <c r="P7" s="213">
        <f t="shared" si="0"/>
        <v>0</v>
      </c>
      <c r="Q7" s="215">
        <v>5</v>
      </c>
      <c r="R7" s="222">
        <v>120</v>
      </c>
      <c r="S7" s="215">
        <v>0</v>
      </c>
      <c r="T7" s="222">
        <v>0</v>
      </c>
      <c r="U7" s="213">
        <f t="shared" si="1"/>
        <v>600</v>
      </c>
      <c r="V7" s="213">
        <f t="shared" si="2"/>
        <v>600</v>
      </c>
      <c r="W7" s="213">
        <f t="shared" si="3"/>
        <v>600</v>
      </c>
      <c r="X7" s="215"/>
    </row>
    <row r="8" spans="1:24" ht="14.4" x14ac:dyDescent="0.25">
      <c r="A8" s="218"/>
      <c r="B8" s="218"/>
      <c r="C8" s="218"/>
      <c r="D8" s="218"/>
      <c r="E8" s="220"/>
      <c r="F8" s="218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221"/>
      <c r="O8" s="221"/>
      <c r="P8" s="214"/>
      <c r="Q8" s="216"/>
      <c r="R8" s="223"/>
      <c r="S8" s="216"/>
      <c r="T8" s="223"/>
      <c r="U8" s="214"/>
      <c r="V8" s="214"/>
      <c r="W8" s="214"/>
      <c r="X8" s="216"/>
    </row>
    <row r="9" spans="1:24" ht="14.4" x14ac:dyDescent="0.25">
      <c r="A9" s="217" t="s">
        <v>250</v>
      </c>
      <c r="B9" s="217" t="s">
        <v>212</v>
      </c>
      <c r="C9" s="219" t="s">
        <v>270</v>
      </c>
      <c r="D9" s="217">
        <v>158</v>
      </c>
      <c r="E9" s="220" t="s">
        <v>592</v>
      </c>
      <c r="F9" s="219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221">
        <v>0</v>
      </c>
      <c r="O9" s="221">
        <v>0</v>
      </c>
      <c r="P9" s="213">
        <f t="shared" ref="P9" si="4">SUM(N9:O9)</f>
        <v>0</v>
      </c>
      <c r="Q9" s="215">
        <v>5</v>
      </c>
      <c r="R9" s="222">
        <v>120</v>
      </c>
      <c r="S9" s="215">
        <v>0</v>
      </c>
      <c r="T9" s="222">
        <v>0</v>
      </c>
      <c r="U9" s="213">
        <f t="shared" ref="U9" si="5">(Q9*R9)+(S9*T9)</f>
        <v>600</v>
      </c>
      <c r="V9" s="213">
        <f t="shared" ref="V9" si="6">U9+P9</f>
        <v>600</v>
      </c>
      <c r="W9" s="213">
        <f t="shared" ref="W9" si="7">V9</f>
        <v>600</v>
      </c>
      <c r="X9" s="215"/>
    </row>
    <row r="10" spans="1:24" ht="14.4" x14ac:dyDescent="0.25">
      <c r="A10" s="218"/>
      <c r="B10" s="218"/>
      <c r="C10" s="218"/>
      <c r="D10" s="218"/>
      <c r="E10" s="220"/>
      <c r="F10" s="218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221"/>
      <c r="O10" s="221"/>
      <c r="P10" s="214"/>
      <c r="Q10" s="216"/>
      <c r="R10" s="223"/>
      <c r="S10" s="216"/>
      <c r="T10" s="223"/>
      <c r="U10" s="214"/>
      <c r="V10" s="214"/>
      <c r="W10" s="214"/>
      <c r="X10" s="216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  <row r="15" spans="1:24" x14ac:dyDescent="0.25">
      <c r="Q15" s="9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4.4" x14ac:dyDescent="0.25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4.4" x14ac:dyDescent="0.25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4.4" x14ac:dyDescent="0.25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  <row r="15" spans="1:24" x14ac:dyDescent="0.25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4.4" x14ac:dyDescent="0.25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4.4" x14ac:dyDescent="0.25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3.0976562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4.4" x14ac:dyDescent="0.25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4.4" x14ac:dyDescent="0.25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4.4" x14ac:dyDescent="0.25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25">
      <c r="Q10" s="9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3.0976562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4.4" x14ac:dyDescent="0.25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4.4" x14ac:dyDescent="0.25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4.4" x14ac:dyDescent="0.25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4.4" x14ac:dyDescent="0.25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25">
      <c r="Q10" s="9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3.8" x14ac:dyDescent="0.25"/>
  <cols>
    <col min="1" max="1" width="38.3984375" bestFit="1" customWidth="1"/>
    <col min="2" max="2" width="50.8984375" bestFit="1" customWidth="1"/>
    <col min="3" max="3" width="51.3984375" bestFit="1" customWidth="1"/>
    <col min="5" max="5" width="31.69921875" bestFit="1" customWidth="1"/>
    <col min="6" max="6" width="86" bestFit="1" customWidth="1"/>
    <col min="10" max="10" width="3.3984375" bestFit="1" customWidth="1"/>
    <col min="11" max="11" width="13.0976562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4.4" x14ac:dyDescent="0.25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4.4" x14ac:dyDescent="0.25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4.4" x14ac:dyDescent="0.25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25">
      <c r="Q9" s="93"/>
    </row>
    <row r="10" spans="1:24" x14ac:dyDescent="0.25">
      <c r="Q10" s="93"/>
    </row>
    <row r="11" spans="1:24" x14ac:dyDescent="0.25">
      <c r="Q11" s="93"/>
    </row>
    <row r="12" spans="1:24" x14ac:dyDescent="0.25">
      <c r="Q12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3.8" x14ac:dyDescent="0.25"/>
  <cols>
    <col min="1" max="1" width="43.5" bestFit="1" customWidth="1"/>
    <col min="2" max="2" width="50.8984375" bestFit="1" customWidth="1"/>
    <col min="3" max="3" width="51.3984375" bestFit="1" customWidth="1"/>
    <col min="4" max="4" width="9" customWidth="1"/>
    <col min="5" max="5" width="47.3984375" customWidth="1"/>
    <col min="6" max="6" width="72.59765625" bestFit="1" customWidth="1"/>
    <col min="7" max="9" width="9" customWidth="1"/>
    <col min="10" max="10" width="3.3984375" customWidth="1"/>
    <col min="11" max="11" width="13.0976562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4.4" x14ac:dyDescent="0.25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4.4" x14ac:dyDescent="0.25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4.4" x14ac:dyDescent="0.25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4.4" x14ac:dyDescent="0.25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4.4" x14ac:dyDescent="0.25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4.4" x14ac:dyDescent="0.25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4.4" x14ac:dyDescent="0.25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4.4" x14ac:dyDescent="0.25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4.4" x14ac:dyDescent="0.25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4.4" x14ac:dyDescent="0.25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4.4" x14ac:dyDescent="0.25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4.4" x14ac:dyDescent="0.25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4.4" x14ac:dyDescent="0.25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4.4" x14ac:dyDescent="0.25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4.4" x14ac:dyDescent="0.25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4.4" x14ac:dyDescent="0.25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4.4" x14ac:dyDescent="0.25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4.4" x14ac:dyDescent="0.25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4.4" x14ac:dyDescent="0.25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4.4" x14ac:dyDescent="0.25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4.4" x14ac:dyDescent="0.25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4.4" x14ac:dyDescent="0.25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4.4" x14ac:dyDescent="0.25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43009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3.8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26.4" x14ac:dyDescent="0.25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9.6" x14ac:dyDescent="0.25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6.4" x14ac:dyDescent="0.25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9.6" x14ac:dyDescent="0.25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6.4" x14ac:dyDescent="0.25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6.4" x14ac:dyDescent="0.25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6.4" x14ac:dyDescent="0.25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6.4" x14ac:dyDescent="0.25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9.6" x14ac:dyDescent="0.25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2.8" x14ac:dyDescent="0.25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6.4" x14ac:dyDescent="0.25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9.6" x14ac:dyDescent="0.25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6.4" x14ac:dyDescent="0.25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6.4" x14ac:dyDescent="0.25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6.4" x14ac:dyDescent="0.25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6.4" x14ac:dyDescent="0.25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6.4" x14ac:dyDescent="0.25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6.4" x14ac:dyDescent="0.25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6.4" x14ac:dyDescent="0.25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6.4" x14ac:dyDescent="0.25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6.4" x14ac:dyDescent="0.25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3.8" x14ac:dyDescent="0.25"/>
  <cols>
    <col min="1" max="1" width="43.5" bestFit="1" customWidth="1"/>
    <col min="2" max="2" width="50.8984375" bestFit="1" customWidth="1"/>
    <col min="3" max="3" width="51.3984375" bestFit="1" customWidth="1"/>
    <col min="4" max="4" width="9" customWidth="1"/>
    <col min="5" max="5" width="47.3984375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4.4" x14ac:dyDescent="0.25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4.4" x14ac:dyDescent="0.25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4.4" x14ac:dyDescent="0.25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4.4" x14ac:dyDescent="0.25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4.4" x14ac:dyDescent="0.25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4.4" x14ac:dyDescent="0.25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41.4" x14ac:dyDescent="0.25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25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25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25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4.4" x14ac:dyDescent="0.25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4.4" x14ac:dyDescent="0.25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4.4" x14ac:dyDescent="0.25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4.4" x14ac:dyDescent="0.25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4.4" x14ac:dyDescent="0.25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4.4" x14ac:dyDescent="0.25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4.4" x14ac:dyDescent="0.25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4.4" x14ac:dyDescent="0.25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4.4" x14ac:dyDescent="0.25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4.4" x14ac:dyDescent="0.25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4.4" x14ac:dyDescent="0.25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4.4" x14ac:dyDescent="0.25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4.4" x14ac:dyDescent="0.25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4.4" x14ac:dyDescent="0.25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4.4" x14ac:dyDescent="0.25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4.4" x14ac:dyDescent="0.25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4.4" x14ac:dyDescent="0.25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4.4" x14ac:dyDescent="0.25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4.4" x14ac:dyDescent="0.25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4.4" x14ac:dyDescent="0.25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4.4" x14ac:dyDescent="0.25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4.4" x14ac:dyDescent="0.25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4.4" x14ac:dyDescent="0.25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4.4" x14ac:dyDescent="0.25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4.4" x14ac:dyDescent="0.25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4.4" x14ac:dyDescent="0.25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28.8" x14ac:dyDescent="0.25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4.4" x14ac:dyDescent="0.25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4.4" x14ac:dyDescent="0.25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4.4" x14ac:dyDescent="0.25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28.8" x14ac:dyDescent="0.25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28.8" x14ac:dyDescent="0.25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ht="14.4" x14ac:dyDescent="0.25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4.4" x14ac:dyDescent="0.25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4.4" x14ac:dyDescent="0.25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4.4" x14ac:dyDescent="0.25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7.6" x14ac:dyDescent="0.25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4.4" x14ac:dyDescent="0.25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4.4" x14ac:dyDescent="0.25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4.4" x14ac:dyDescent="0.25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4.4" x14ac:dyDescent="0.25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25"/>
  <cols>
    <col min="1" max="1" width="8.59765625" customWidth="1"/>
    <col min="2" max="2" width="15.39843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43009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3.8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52.8" x14ac:dyDescent="0.25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2.8" x14ac:dyDescent="0.25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2.8" x14ac:dyDescent="0.25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6.4" x14ac:dyDescent="0.25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9.6" x14ac:dyDescent="0.25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3.8" x14ac:dyDescent="0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3.8" x14ac:dyDescent="0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3.8" x14ac:dyDescent="0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3.8" x14ac:dyDescent="0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3.8" x14ac:dyDescent="0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3.8" x14ac:dyDescent="0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3.8" x14ac:dyDescent="0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3.8" x14ac:dyDescent="0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3.8" x14ac:dyDescent="0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3.8" x14ac:dyDescent="0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3.8" x14ac:dyDescent="0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3.8" x14ac:dyDescent="0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3.8" x14ac:dyDescent="0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3.8" x14ac:dyDescent="0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3.8" x14ac:dyDescent="0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4.4" x14ac:dyDescent="0.25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4.4" x14ac:dyDescent="0.25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4.4" x14ac:dyDescent="0.25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4.4" x14ac:dyDescent="0.25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4.4" x14ac:dyDescent="0.25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6" width="12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4.4" x14ac:dyDescent="0.25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4.4" x14ac:dyDescent="0.25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4.4" x14ac:dyDescent="0.25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4.4" x14ac:dyDescent="0.25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4.4" x14ac:dyDescent="0.25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4.4" x14ac:dyDescent="0.25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6" width="12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4.4" x14ac:dyDescent="0.25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4.4" x14ac:dyDescent="0.25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6" width="12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4.4" x14ac:dyDescent="0.25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4.4" x14ac:dyDescent="0.25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6" width="12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4.4" x14ac:dyDescent="0.25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4.4" x14ac:dyDescent="0.25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4.4" x14ac:dyDescent="0.25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4.4" x14ac:dyDescent="0.25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4.4" x14ac:dyDescent="0.25">
      <c r="A10" s="226" t="s">
        <v>372</v>
      </c>
      <c r="B10" s="226" t="s">
        <v>238</v>
      </c>
      <c r="C10" s="226" t="s">
        <v>135</v>
      </c>
      <c r="D10" s="164">
        <v>230</v>
      </c>
      <c r="E10" s="230" t="s">
        <v>152</v>
      </c>
      <c r="F10" s="226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228">
        <v>45011</v>
      </c>
      <c r="M10" s="228">
        <v>45013</v>
      </c>
      <c r="N10" s="222">
        <f>3156.22/2</f>
        <v>1578.11</v>
      </c>
      <c r="O10" s="222">
        <f>3156.22/2</f>
        <v>1578.11</v>
      </c>
      <c r="P10" s="222">
        <f t="shared" si="1"/>
        <v>3156.22</v>
      </c>
      <c r="Q10" s="215">
        <v>7</v>
      </c>
      <c r="R10" s="222">
        <v>120</v>
      </c>
      <c r="S10" s="215">
        <v>0</v>
      </c>
      <c r="T10" s="222">
        <v>0</v>
      </c>
      <c r="U10" s="213">
        <f t="shared" si="2"/>
        <v>840</v>
      </c>
      <c r="V10" s="213">
        <f>P10+U10</f>
        <v>3996.22</v>
      </c>
      <c r="W10" s="213">
        <f>V10</f>
        <v>3996.22</v>
      </c>
      <c r="X10" s="224"/>
    </row>
    <row r="11" spans="1:24" s="119" customFormat="1" ht="14.4" x14ac:dyDescent="0.25">
      <c r="A11" s="227"/>
      <c r="B11" s="227"/>
      <c r="C11" s="227"/>
      <c r="D11" s="164"/>
      <c r="E11" s="230"/>
      <c r="F11" s="225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229"/>
      <c r="M11" s="229"/>
      <c r="N11" s="223"/>
      <c r="O11" s="223"/>
      <c r="P11" s="223"/>
      <c r="Q11" s="216"/>
      <c r="R11" s="223"/>
      <c r="S11" s="216"/>
      <c r="T11" s="223"/>
      <c r="U11" s="214"/>
      <c r="V11" s="214"/>
      <c r="W11" s="214"/>
      <c r="X11" s="225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6" width="12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4.4" x14ac:dyDescent="0.25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4.4" x14ac:dyDescent="0.25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4.4" x14ac:dyDescent="0.25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4.4" x14ac:dyDescent="0.25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4.4" x14ac:dyDescent="0.25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G14" sqref="A14:XFD16"/>
    </sheetView>
  </sheetViews>
  <sheetFormatPr defaultRowHeight="13.8" x14ac:dyDescent="0.25"/>
  <cols>
    <col min="1" max="2" width="38.3984375" bestFit="1" customWidth="1"/>
    <col min="3" max="3" width="46.5" customWidth="1"/>
    <col min="4" max="4" width="15" bestFit="1" customWidth="1"/>
    <col min="5" max="5" width="32.09765625" bestFit="1" customWidth="1"/>
    <col min="6" max="6" width="59.5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4.4" x14ac:dyDescent="0.25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4.4" x14ac:dyDescent="0.25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4.4" x14ac:dyDescent="0.25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4.4" x14ac:dyDescent="0.25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4.4" x14ac:dyDescent="0.25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4.4" x14ac:dyDescent="0.25">
      <c r="A11" s="245" t="s">
        <v>250</v>
      </c>
      <c r="B11" s="245" t="s">
        <v>250</v>
      </c>
      <c r="C11" s="238" t="s">
        <v>378</v>
      </c>
      <c r="D11" s="239"/>
      <c r="E11" s="224" t="s">
        <v>55</v>
      </c>
      <c r="F11" s="242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222">
        <f>8486.12/2</f>
        <v>4243.0600000000004</v>
      </c>
      <c r="O11" s="222">
        <f>8486.12/2</f>
        <v>4243.0600000000004</v>
      </c>
      <c r="P11" s="222">
        <f t="shared" si="0"/>
        <v>8486.1200000000008</v>
      </c>
      <c r="Q11" s="232">
        <v>0</v>
      </c>
      <c r="R11" s="222">
        <v>0</v>
      </c>
      <c r="S11" s="232">
        <v>0</v>
      </c>
      <c r="T11" s="222">
        <v>0</v>
      </c>
      <c r="U11" s="232">
        <v>0</v>
      </c>
      <c r="V11" s="213">
        <f t="shared" ref="V11:V14" si="4">P11+U11</f>
        <v>8486.1200000000008</v>
      </c>
      <c r="W11" s="213">
        <f t="shared" ref="W11:W14" si="5">V11</f>
        <v>8486.1200000000008</v>
      </c>
      <c r="X11" s="220"/>
    </row>
    <row r="12" spans="1:24" ht="14.4" x14ac:dyDescent="0.25">
      <c r="A12" s="245"/>
      <c r="B12" s="245"/>
      <c r="C12" s="238"/>
      <c r="D12" s="240"/>
      <c r="E12" s="246"/>
      <c r="F12" s="243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231"/>
      <c r="O12" s="231"/>
      <c r="P12" s="231"/>
      <c r="Q12" s="232"/>
      <c r="R12" s="231"/>
      <c r="S12" s="232"/>
      <c r="T12" s="231"/>
      <c r="U12" s="232"/>
      <c r="V12" s="233"/>
      <c r="W12" s="233"/>
      <c r="X12" s="220"/>
    </row>
    <row r="13" spans="1:24" ht="14.4" x14ac:dyDescent="0.25">
      <c r="A13" s="245"/>
      <c r="B13" s="245"/>
      <c r="C13" s="238"/>
      <c r="D13" s="241"/>
      <c r="E13" s="225"/>
      <c r="F13" s="244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223"/>
      <c r="O13" s="223"/>
      <c r="P13" s="223"/>
      <c r="Q13" s="232"/>
      <c r="R13" s="223"/>
      <c r="S13" s="232"/>
      <c r="T13" s="223"/>
      <c r="U13" s="232"/>
      <c r="V13" s="214"/>
      <c r="W13" s="214"/>
      <c r="X13" s="220"/>
    </row>
    <row r="14" spans="1:24" ht="14.4" x14ac:dyDescent="0.25">
      <c r="A14" s="226" t="s">
        <v>372</v>
      </c>
      <c r="B14" s="235" t="s">
        <v>372</v>
      </c>
      <c r="C14" s="238" t="s">
        <v>75</v>
      </c>
      <c r="D14" s="239"/>
      <c r="E14" s="235" t="s">
        <v>88</v>
      </c>
      <c r="F14" s="242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222">
        <f>8375.42/2</f>
        <v>4187.71</v>
      </c>
      <c r="O14" s="222">
        <f>8375.42/2</f>
        <v>4187.71</v>
      </c>
      <c r="P14" s="222">
        <f>SUM(N14:O16)</f>
        <v>8375.42</v>
      </c>
      <c r="Q14" s="232">
        <v>0</v>
      </c>
      <c r="R14" s="222">
        <v>0</v>
      </c>
      <c r="S14" s="232">
        <v>0</v>
      </c>
      <c r="T14" s="222">
        <v>0</v>
      </c>
      <c r="U14" s="232">
        <v>0</v>
      </c>
      <c r="V14" s="213">
        <f t="shared" si="4"/>
        <v>8375.42</v>
      </c>
      <c r="W14" s="213">
        <f t="shared" si="5"/>
        <v>8375.42</v>
      </c>
      <c r="X14" s="220"/>
    </row>
    <row r="15" spans="1:24" ht="14.4" x14ac:dyDescent="0.25">
      <c r="A15" s="234"/>
      <c r="B15" s="236"/>
      <c r="C15" s="238"/>
      <c r="D15" s="240"/>
      <c r="E15" s="236"/>
      <c r="F15" s="243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231"/>
      <c r="O15" s="231"/>
      <c r="P15" s="231"/>
      <c r="Q15" s="232"/>
      <c r="R15" s="231"/>
      <c r="S15" s="232"/>
      <c r="T15" s="231"/>
      <c r="U15" s="232"/>
      <c r="V15" s="233"/>
      <c r="W15" s="233"/>
      <c r="X15" s="220"/>
    </row>
    <row r="16" spans="1:24" ht="14.4" x14ac:dyDescent="0.25">
      <c r="A16" s="227"/>
      <c r="B16" s="237"/>
      <c r="C16" s="238"/>
      <c r="D16" s="241"/>
      <c r="E16" s="237"/>
      <c r="F16" s="244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223"/>
      <c r="O16" s="223"/>
      <c r="P16" s="223"/>
      <c r="Q16" s="232"/>
      <c r="R16" s="223"/>
      <c r="S16" s="232"/>
      <c r="T16" s="223"/>
      <c r="U16" s="232"/>
      <c r="V16" s="214"/>
      <c r="W16" s="214"/>
      <c r="X16" s="220"/>
    </row>
    <row r="17" spans="1:24" ht="14.4" x14ac:dyDescent="0.25">
      <c r="A17" s="226" t="s">
        <v>229</v>
      </c>
      <c r="B17" s="235" t="s">
        <v>229</v>
      </c>
      <c r="C17" s="238" t="s">
        <v>698</v>
      </c>
      <c r="D17" s="239"/>
      <c r="E17" s="235" t="s">
        <v>561</v>
      </c>
      <c r="F17" s="242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222">
        <f>8219.66/2</f>
        <v>4109.83</v>
      </c>
      <c r="O17" s="222">
        <f>8219.66/2</f>
        <v>4109.83</v>
      </c>
      <c r="P17" s="222">
        <f>SUM(N17:O19)</f>
        <v>8219.66</v>
      </c>
      <c r="Q17" s="232">
        <v>0</v>
      </c>
      <c r="R17" s="222">
        <v>0</v>
      </c>
      <c r="S17" s="232">
        <v>0</v>
      </c>
      <c r="T17" s="222">
        <v>0</v>
      </c>
      <c r="U17" s="232">
        <v>0</v>
      </c>
      <c r="V17" s="213">
        <f t="shared" ref="V17" si="6">P17+U17</f>
        <v>8219.66</v>
      </c>
      <c r="W17" s="213">
        <f t="shared" ref="W17" si="7">V17</f>
        <v>8219.66</v>
      </c>
      <c r="X17" s="220"/>
    </row>
    <row r="18" spans="1:24" ht="14.4" x14ac:dyDescent="0.25">
      <c r="A18" s="234"/>
      <c r="B18" s="236"/>
      <c r="C18" s="238"/>
      <c r="D18" s="240"/>
      <c r="E18" s="236"/>
      <c r="F18" s="243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231"/>
      <c r="O18" s="231"/>
      <c r="P18" s="231"/>
      <c r="Q18" s="232"/>
      <c r="R18" s="231"/>
      <c r="S18" s="232"/>
      <c r="T18" s="231"/>
      <c r="U18" s="232"/>
      <c r="V18" s="233"/>
      <c r="W18" s="233"/>
      <c r="X18" s="220"/>
    </row>
    <row r="19" spans="1:24" ht="14.4" x14ac:dyDescent="0.25">
      <c r="A19" s="227"/>
      <c r="B19" s="237"/>
      <c r="C19" s="238"/>
      <c r="D19" s="241"/>
      <c r="E19" s="237"/>
      <c r="F19" s="244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223"/>
      <c r="O19" s="223"/>
      <c r="P19" s="223"/>
      <c r="Q19" s="232"/>
      <c r="R19" s="223"/>
      <c r="S19" s="232"/>
      <c r="T19" s="223"/>
      <c r="U19" s="232"/>
      <c r="V19" s="214"/>
      <c r="W19" s="214"/>
      <c r="X19" s="220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A14:A16"/>
    <mergeCell ref="B14:B16"/>
    <mergeCell ref="C14:C16"/>
    <mergeCell ref="D14:D16"/>
    <mergeCell ref="E14:E16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37.8984375" bestFit="1" customWidth="1"/>
    <col min="4" max="4" width="15" bestFit="1" customWidth="1"/>
    <col min="5" max="5" width="23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28.8" x14ac:dyDescent="0.25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4.4" x14ac:dyDescent="0.25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4.4" x14ac:dyDescent="0.25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4.4" x14ac:dyDescent="0.25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4.4" x14ac:dyDescent="0.25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4.4" x14ac:dyDescent="0.25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4.4" x14ac:dyDescent="0.25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4.4" x14ac:dyDescent="0.25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4.4" x14ac:dyDescent="0.25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3.2" x14ac:dyDescent="0.25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4.4" x14ac:dyDescent="0.25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37.8984375" bestFit="1" customWidth="1"/>
    <col min="4" max="4" width="15" bestFit="1" customWidth="1"/>
    <col min="5" max="5" width="40.8984375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248" t="s">
        <v>372</v>
      </c>
      <c r="B5" s="248" t="s">
        <v>372</v>
      </c>
      <c r="C5" s="250" t="s">
        <v>75</v>
      </c>
      <c r="D5" s="250">
        <v>0</v>
      </c>
      <c r="E5" s="251" t="s">
        <v>88</v>
      </c>
      <c r="F5" s="248" t="s">
        <v>722</v>
      </c>
      <c r="G5" s="250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228">
        <v>45110</v>
      </c>
      <c r="M5" s="228">
        <v>45111</v>
      </c>
      <c r="N5" s="222">
        <f>3242.09/2</f>
        <v>1621.0450000000001</v>
      </c>
      <c r="O5" s="222">
        <f>3242.09/2</f>
        <v>1621.0450000000001</v>
      </c>
      <c r="P5" s="222">
        <f t="shared" ref="P5:P13" si="0">SUM(N5:O5)</f>
        <v>3242.09</v>
      </c>
      <c r="Q5" s="250">
        <v>0</v>
      </c>
      <c r="R5" s="250">
        <v>0</v>
      </c>
      <c r="S5" s="250">
        <v>0</v>
      </c>
      <c r="T5" s="250">
        <v>0</v>
      </c>
      <c r="U5" s="250">
        <f t="shared" ref="U5:U15" si="1">Q5*R5+S5*T5</f>
        <v>0</v>
      </c>
      <c r="V5" s="213">
        <f t="shared" ref="V5:V13" si="2">P5+U5</f>
        <v>3242.09</v>
      </c>
      <c r="W5" s="213">
        <f t="shared" ref="W5:W13" si="3">V5</f>
        <v>3242.09</v>
      </c>
      <c r="X5" s="250"/>
    </row>
    <row r="6" spans="1:24" s="119" customFormat="1" ht="14.4" x14ac:dyDescent="0.25">
      <c r="A6" s="249"/>
      <c r="B6" s="249"/>
      <c r="C6" s="249"/>
      <c r="D6" s="249"/>
      <c r="E6" s="249"/>
      <c r="F6" s="249"/>
      <c r="G6" s="249"/>
      <c r="H6" s="128" t="s">
        <v>38</v>
      </c>
      <c r="I6" s="128" t="s">
        <v>39</v>
      </c>
      <c r="J6" s="133" t="s">
        <v>32</v>
      </c>
      <c r="K6" s="133" t="s">
        <v>33</v>
      </c>
      <c r="L6" s="229"/>
      <c r="M6" s="229"/>
      <c r="N6" s="223"/>
      <c r="O6" s="223"/>
      <c r="P6" s="223"/>
      <c r="Q6" s="249"/>
      <c r="R6" s="249"/>
      <c r="S6" s="249"/>
      <c r="T6" s="249"/>
      <c r="U6" s="249"/>
      <c r="V6" s="214"/>
      <c r="W6" s="214"/>
      <c r="X6" s="249"/>
    </row>
    <row r="7" spans="1:24" s="119" customFormat="1" ht="14.4" x14ac:dyDescent="0.25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4.4" x14ac:dyDescent="0.25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4.4" x14ac:dyDescent="0.25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4.4" x14ac:dyDescent="0.25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4.4" x14ac:dyDescent="0.25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28.8" x14ac:dyDescent="0.25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4.4" x14ac:dyDescent="0.25">
      <c r="A13" s="248" t="s">
        <v>229</v>
      </c>
      <c r="B13" s="248" t="s">
        <v>229</v>
      </c>
      <c r="C13" s="226" t="s">
        <v>698</v>
      </c>
      <c r="D13" s="226">
        <v>0</v>
      </c>
      <c r="E13" s="248" t="s">
        <v>561</v>
      </c>
      <c r="F13" s="248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247">
        <v>45138</v>
      </c>
      <c r="M13" s="247">
        <v>45142</v>
      </c>
      <c r="N13" s="222">
        <f>5571.04/3</f>
        <v>1857.0133333333333</v>
      </c>
      <c r="O13" s="222">
        <f>5571.04/3</f>
        <v>1857.0133333333333</v>
      </c>
      <c r="P13" s="222">
        <f t="shared" si="0"/>
        <v>3714.0266666666666</v>
      </c>
      <c r="Q13" s="226">
        <v>0</v>
      </c>
      <c r="R13" s="226">
        <v>0</v>
      </c>
      <c r="S13" s="226">
        <v>0</v>
      </c>
      <c r="T13" s="226">
        <v>0</v>
      </c>
      <c r="U13" s="226">
        <f t="shared" si="1"/>
        <v>0</v>
      </c>
      <c r="V13" s="213">
        <f t="shared" si="2"/>
        <v>3714.0266666666666</v>
      </c>
      <c r="W13" s="213">
        <f t="shared" si="3"/>
        <v>3714.0266666666666</v>
      </c>
      <c r="X13" s="226"/>
    </row>
    <row r="14" spans="1:24" s="119" customFormat="1" ht="14.4" x14ac:dyDescent="0.25">
      <c r="A14" s="234"/>
      <c r="B14" s="234"/>
      <c r="C14" s="234"/>
      <c r="D14" s="234"/>
      <c r="E14" s="234"/>
      <c r="F14" s="234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234"/>
      <c r="M14" s="234"/>
      <c r="N14" s="231"/>
      <c r="O14" s="231"/>
      <c r="P14" s="231"/>
      <c r="Q14" s="234"/>
      <c r="R14" s="234"/>
      <c r="S14" s="234">
        <v>0</v>
      </c>
      <c r="T14" s="234">
        <v>0</v>
      </c>
      <c r="U14" s="234">
        <f t="shared" si="1"/>
        <v>0</v>
      </c>
      <c r="V14" s="233"/>
      <c r="W14" s="233"/>
      <c r="X14" s="234"/>
    </row>
    <row r="15" spans="1:24" s="119" customFormat="1" ht="14.4" x14ac:dyDescent="0.25">
      <c r="A15" s="227"/>
      <c r="B15" s="227"/>
      <c r="C15" s="227"/>
      <c r="D15" s="227"/>
      <c r="E15" s="227"/>
      <c r="F15" s="227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227"/>
      <c r="M15" s="227"/>
      <c r="N15" s="223"/>
      <c r="O15" s="223"/>
      <c r="P15" s="223"/>
      <c r="Q15" s="227"/>
      <c r="R15" s="227"/>
      <c r="S15" s="227">
        <v>0</v>
      </c>
      <c r="T15" s="227">
        <v>0</v>
      </c>
      <c r="U15" s="227">
        <f t="shared" si="1"/>
        <v>0</v>
      </c>
      <c r="V15" s="214"/>
      <c r="W15" s="214"/>
      <c r="X15" s="227"/>
    </row>
  </sheetData>
  <mergeCells count="6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T5:T6"/>
    <mergeCell ref="U5:U6"/>
    <mergeCell ref="V5:V6"/>
    <mergeCell ref="W5:W6"/>
    <mergeCell ref="X5:X6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L13:L15"/>
    <mergeCell ref="M13:M15"/>
    <mergeCell ref="N13:N15"/>
    <mergeCell ref="O13:O15"/>
    <mergeCell ref="P13:P15"/>
    <mergeCell ref="W13:W15"/>
    <mergeCell ref="X13:X15"/>
    <mergeCell ref="Q13:Q15"/>
    <mergeCell ref="R13:R15"/>
    <mergeCell ref="T13:T15"/>
    <mergeCell ref="U13:U15"/>
    <mergeCell ref="V13:V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25"/>
  <cols>
    <col min="1" max="1" width="8.59765625" customWidth="1"/>
    <col min="2" max="2" width="15.39843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43101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3.8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26.4" x14ac:dyDescent="0.25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9.6" x14ac:dyDescent="0.25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6.4" x14ac:dyDescent="0.25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6.4" x14ac:dyDescent="0.25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3.8" x14ac:dyDescent="0.25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3.8" x14ac:dyDescent="0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3.8" x14ac:dyDescent="0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3.8" x14ac:dyDescent="0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3.8" x14ac:dyDescent="0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3.8" x14ac:dyDescent="0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3.8" x14ac:dyDescent="0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3.8" x14ac:dyDescent="0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3.8" x14ac:dyDescent="0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3.8" x14ac:dyDescent="0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3.8" x14ac:dyDescent="0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3.8" x14ac:dyDescent="0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3.8" x14ac:dyDescent="0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3.8" x14ac:dyDescent="0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3.8" x14ac:dyDescent="0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3.8" x14ac:dyDescent="0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4" sqref="D14:E14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0.8984375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4.4" x14ac:dyDescent="0.25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4.4" x14ac:dyDescent="0.25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4.4" x14ac:dyDescent="0.25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4.4" x14ac:dyDescent="0.25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4.4" x14ac:dyDescent="0.25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4.4" x14ac:dyDescent="0.25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4.4" x14ac:dyDescent="0.25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4.4" x14ac:dyDescent="0.25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4.4" x14ac:dyDescent="0.25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4.4" x14ac:dyDescent="0.25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4.4" x14ac:dyDescent="0.25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4.4" x14ac:dyDescent="0.25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4.4" x14ac:dyDescent="0.25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0.8984375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3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4.4" x14ac:dyDescent="0.3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4.4" x14ac:dyDescent="0.25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4.4" x14ac:dyDescent="0.25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4.4" x14ac:dyDescent="0.25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4.4" x14ac:dyDescent="0.25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4.4" x14ac:dyDescent="0.25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4.4" x14ac:dyDescent="0.25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4.4" x14ac:dyDescent="0.25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4.4" x14ac:dyDescent="0.25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4.4" x14ac:dyDescent="0.25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4.4" x14ac:dyDescent="0.25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4.4" x14ac:dyDescent="0.25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4.4" x14ac:dyDescent="0.25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4.4" x14ac:dyDescent="0.25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4.4" x14ac:dyDescent="0.3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4.4" x14ac:dyDescent="0.25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4.4" x14ac:dyDescent="0.25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4.4" x14ac:dyDescent="0.25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4.4" x14ac:dyDescent="0.25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25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C23" sqref="C23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3">
      <c r="A5" s="126" t="s">
        <v>372</v>
      </c>
      <c r="B5" s="139" t="s">
        <v>272</v>
      </c>
      <c r="C5" s="135" t="s">
        <v>752</v>
      </c>
      <c r="D5" s="47">
        <v>384</v>
      </c>
      <c r="E5" s="138" t="s">
        <v>778</v>
      </c>
      <c r="F5" s="138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14.4" x14ac:dyDescent="0.3">
      <c r="A6" s="126" t="s">
        <v>250</v>
      </c>
      <c r="B6" s="139" t="s">
        <v>289</v>
      </c>
      <c r="C6" s="135" t="s">
        <v>642</v>
      </c>
      <c r="D6" s="47">
        <v>252</v>
      </c>
      <c r="E6" s="142" t="s">
        <v>779</v>
      </c>
      <c r="F6" s="138" t="s">
        <v>777</v>
      </c>
      <c r="G6" s="76" t="s">
        <v>31</v>
      </c>
      <c r="H6" s="76" t="s">
        <v>32</v>
      </c>
      <c r="I6" s="76" t="s">
        <v>33</v>
      </c>
      <c r="J6" s="138" t="s">
        <v>32</v>
      </c>
      <c r="K6" s="138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28.8" x14ac:dyDescent="0.3">
      <c r="A7" s="146" t="s">
        <v>372</v>
      </c>
      <c r="B7" s="139" t="s">
        <v>238</v>
      </c>
      <c r="C7" s="135" t="s">
        <v>135</v>
      </c>
      <c r="D7" s="47">
        <v>230</v>
      </c>
      <c r="E7" s="131" t="s">
        <v>710</v>
      </c>
      <c r="F7" s="142" t="s">
        <v>775</v>
      </c>
      <c r="G7" s="76" t="s">
        <v>31</v>
      </c>
      <c r="H7" s="76" t="s">
        <v>32</v>
      </c>
      <c r="I7" s="76" t="s">
        <v>33</v>
      </c>
      <c r="J7" s="138" t="s">
        <v>121</v>
      </c>
      <c r="K7" s="138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4.4" x14ac:dyDescent="0.3">
      <c r="A8" s="126" t="s">
        <v>372</v>
      </c>
      <c r="B8" s="139" t="s">
        <v>238</v>
      </c>
      <c r="C8" s="128" t="s">
        <v>471</v>
      </c>
      <c r="D8" s="47">
        <v>280</v>
      </c>
      <c r="E8" s="138" t="s">
        <v>780</v>
      </c>
      <c r="F8" s="138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4.4" x14ac:dyDescent="0.25">
      <c r="A9" s="126" t="s">
        <v>250</v>
      </c>
      <c r="B9" s="126" t="s">
        <v>322</v>
      </c>
      <c r="C9" s="128" t="s">
        <v>323</v>
      </c>
      <c r="D9" s="47">
        <v>87</v>
      </c>
      <c r="E9" s="138" t="s">
        <v>329</v>
      </c>
      <c r="F9" s="138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4.4" x14ac:dyDescent="0.25">
      <c r="A10" s="126" t="s">
        <v>250</v>
      </c>
      <c r="B10" s="126" t="s">
        <v>322</v>
      </c>
      <c r="C10" s="138" t="s">
        <v>754</v>
      </c>
      <c r="D10" s="47">
        <v>397</v>
      </c>
      <c r="E10" s="138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4.4" x14ac:dyDescent="0.25">
      <c r="A11" s="126" t="s">
        <v>250</v>
      </c>
      <c r="B11" s="126" t="s">
        <v>322</v>
      </c>
      <c r="C11" s="138" t="s">
        <v>755</v>
      </c>
      <c r="D11" s="47">
        <v>324</v>
      </c>
      <c r="E11" s="138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4.4" x14ac:dyDescent="0.25">
      <c r="A12" s="126" t="s">
        <v>229</v>
      </c>
      <c r="B12" s="126" t="s">
        <v>759</v>
      </c>
      <c r="C12" s="128" t="s">
        <v>729</v>
      </c>
      <c r="D12" s="47">
        <v>390</v>
      </c>
      <c r="E12" s="138" t="s">
        <v>783</v>
      </c>
      <c r="F12" s="138" t="s">
        <v>760</v>
      </c>
      <c r="G12" s="76" t="s">
        <v>31</v>
      </c>
      <c r="H12" s="76" t="s">
        <v>32</v>
      </c>
      <c r="I12" s="76" t="s">
        <v>33</v>
      </c>
      <c r="J12" s="138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4.4" x14ac:dyDescent="0.25">
      <c r="A13" s="126" t="s">
        <v>229</v>
      </c>
      <c r="B13" s="126" t="s">
        <v>229</v>
      </c>
      <c r="C13" s="128" t="s">
        <v>757</v>
      </c>
      <c r="D13" s="47">
        <v>392</v>
      </c>
      <c r="E13" s="138" t="s">
        <v>784</v>
      </c>
      <c r="F13" s="138" t="s">
        <v>760</v>
      </c>
      <c r="G13" s="76" t="s">
        <v>31</v>
      </c>
      <c r="H13" s="76" t="s">
        <v>32</v>
      </c>
      <c r="I13" s="76" t="s">
        <v>33</v>
      </c>
      <c r="J13" s="138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4.4" x14ac:dyDescent="0.25">
      <c r="A14" s="126" t="s">
        <v>229</v>
      </c>
      <c r="B14" s="138" t="s">
        <v>227</v>
      </c>
      <c r="C14" s="128" t="s">
        <v>646</v>
      </c>
      <c r="D14" s="47">
        <v>343</v>
      </c>
      <c r="E14" s="138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138" t="s">
        <v>32</v>
      </c>
      <c r="K14" s="138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4.4" x14ac:dyDescent="0.25">
      <c r="A15" s="126" t="s">
        <v>229</v>
      </c>
      <c r="B15" s="138" t="s">
        <v>227</v>
      </c>
      <c r="C15" s="128" t="s">
        <v>64</v>
      </c>
      <c r="D15" s="47">
        <v>195</v>
      </c>
      <c r="E15" s="138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138" t="s">
        <v>32</v>
      </c>
      <c r="K15" s="138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4.4" x14ac:dyDescent="0.25">
      <c r="A16" s="126" t="s">
        <v>229</v>
      </c>
      <c r="B16" s="138" t="s">
        <v>227</v>
      </c>
      <c r="C16" s="128" t="s">
        <v>728</v>
      </c>
      <c r="D16" s="47">
        <v>387</v>
      </c>
      <c r="E16" s="138" t="s">
        <v>262</v>
      </c>
      <c r="F16" s="138" t="s">
        <v>763</v>
      </c>
      <c r="G16" s="76" t="s">
        <v>31</v>
      </c>
      <c r="H16" s="76" t="s">
        <v>32</v>
      </c>
      <c r="I16" s="76" t="s">
        <v>33</v>
      </c>
      <c r="J16" s="138" t="s">
        <v>111</v>
      </c>
      <c r="K16" s="138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4.4" x14ac:dyDescent="0.25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138" t="s">
        <v>760</v>
      </c>
      <c r="G17" s="76" t="s">
        <v>31</v>
      </c>
      <c r="H17" s="76" t="s">
        <v>32</v>
      </c>
      <c r="I17" s="76" t="s">
        <v>33</v>
      </c>
      <c r="J17" s="138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4.4" x14ac:dyDescent="0.25">
      <c r="A18" s="126" t="s">
        <v>250</v>
      </c>
      <c r="B18" s="126" t="s">
        <v>258</v>
      </c>
      <c r="C18" s="128" t="s">
        <v>375</v>
      </c>
      <c r="D18" s="47">
        <v>65</v>
      </c>
      <c r="E18" s="138" t="s">
        <v>786</v>
      </c>
      <c r="F18" s="138" t="s">
        <v>760</v>
      </c>
      <c r="G18" s="76" t="s">
        <v>31</v>
      </c>
      <c r="H18" s="76" t="s">
        <v>32</v>
      </c>
      <c r="I18" s="76" t="s">
        <v>33</v>
      </c>
      <c r="J18" s="138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4.4" x14ac:dyDescent="0.25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138" t="s">
        <v>764</v>
      </c>
      <c r="H19" s="76" t="s">
        <v>32</v>
      </c>
      <c r="I19" s="76" t="s">
        <v>33</v>
      </c>
      <c r="J19" s="138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4.4" x14ac:dyDescent="0.25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138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4.4" x14ac:dyDescent="0.25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138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4.4" x14ac:dyDescent="0.3">
      <c r="A22" s="126" t="s">
        <v>372</v>
      </c>
      <c r="B22" s="137" t="s">
        <v>300</v>
      </c>
      <c r="C22" s="128" t="s">
        <v>293</v>
      </c>
      <c r="D22" s="47">
        <v>61</v>
      </c>
      <c r="E22" s="138" t="s">
        <v>787</v>
      </c>
      <c r="F22" s="138" t="s">
        <v>767</v>
      </c>
      <c r="G22" s="76" t="s">
        <v>31</v>
      </c>
      <c r="H22" s="76" t="s">
        <v>32</v>
      </c>
      <c r="I22" s="76" t="s">
        <v>33</v>
      </c>
      <c r="J22" s="138" t="s">
        <v>38</v>
      </c>
      <c r="K22" s="138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4.4" x14ac:dyDescent="0.25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138" t="s">
        <v>38</v>
      </c>
      <c r="K23" s="138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28.8" x14ac:dyDescent="0.25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141" t="s">
        <v>770</v>
      </c>
      <c r="G24" s="76" t="s">
        <v>31</v>
      </c>
      <c r="H24" s="76" t="s">
        <v>32</v>
      </c>
      <c r="I24" s="76" t="s">
        <v>33</v>
      </c>
      <c r="J24" s="138" t="s">
        <v>121</v>
      </c>
      <c r="K24" s="138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4.4" x14ac:dyDescent="0.25">
      <c r="A25" s="126" t="s">
        <v>250</v>
      </c>
      <c r="B25" s="126" t="s">
        <v>212</v>
      </c>
      <c r="C25" s="128" t="s">
        <v>539</v>
      </c>
      <c r="D25" s="47">
        <v>159</v>
      </c>
      <c r="E25" s="138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138" t="s">
        <v>121</v>
      </c>
      <c r="K25" s="138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4.4" x14ac:dyDescent="0.25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138" t="s">
        <v>760</v>
      </c>
      <c r="G26" s="76" t="s">
        <v>31</v>
      </c>
      <c r="H26" s="76" t="s">
        <v>32</v>
      </c>
      <c r="I26" s="76" t="s">
        <v>33</v>
      </c>
      <c r="J26" s="138" t="s">
        <v>32</v>
      </c>
      <c r="K26" s="138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4.4" x14ac:dyDescent="0.25">
      <c r="A27" s="126" t="s">
        <v>229</v>
      </c>
      <c r="B27" s="126" t="s">
        <v>239</v>
      </c>
      <c r="C27" s="128" t="s">
        <v>697</v>
      </c>
      <c r="D27" s="47">
        <v>394</v>
      </c>
      <c r="E27" s="138" t="s">
        <v>705</v>
      </c>
      <c r="F27" s="138" t="s">
        <v>776</v>
      </c>
      <c r="G27" s="76" t="s">
        <v>31</v>
      </c>
      <c r="H27" s="76" t="s">
        <v>32</v>
      </c>
      <c r="I27" s="76" t="s">
        <v>33</v>
      </c>
      <c r="J27" s="138" t="s">
        <v>121</v>
      </c>
      <c r="K27" s="138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4.4" x14ac:dyDescent="0.25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138" t="s">
        <v>38</v>
      </c>
      <c r="K28" s="138" t="s">
        <v>39</v>
      </c>
      <c r="L28" s="117">
        <v>45223</v>
      </c>
      <c r="M28" s="117">
        <v>45226</v>
      </c>
      <c r="N28" s="130">
        <f t="shared" ref="N28:O30" si="16">2170.64/2</f>
        <v>1085.32</v>
      </c>
      <c r="O28" s="130">
        <f t="shared" si="16"/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4.4" x14ac:dyDescent="0.3">
      <c r="A29" s="126" t="s">
        <v>372</v>
      </c>
      <c r="B29" s="139" t="s">
        <v>238</v>
      </c>
      <c r="C29" s="128" t="s">
        <v>447</v>
      </c>
      <c r="D29" s="47">
        <v>336</v>
      </c>
      <c r="E29" s="138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138" t="s">
        <v>38</v>
      </c>
      <c r="K29" s="138" t="s">
        <v>39</v>
      </c>
      <c r="L29" s="117">
        <v>45223</v>
      </c>
      <c r="M29" s="117">
        <v>45225</v>
      </c>
      <c r="N29" s="130">
        <f t="shared" si="16"/>
        <v>1085.32</v>
      </c>
      <c r="O29" s="130">
        <f t="shared" si="16"/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4.4" x14ac:dyDescent="0.3">
      <c r="A30" s="126" t="s">
        <v>372</v>
      </c>
      <c r="B30" s="139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138" t="s">
        <v>38</v>
      </c>
      <c r="K30" s="138" t="s">
        <v>39</v>
      </c>
      <c r="L30" s="117">
        <v>45223</v>
      </c>
      <c r="M30" s="117">
        <v>45226</v>
      </c>
      <c r="N30" s="130">
        <f t="shared" si="16"/>
        <v>1085.32</v>
      </c>
      <c r="O30" s="130">
        <f t="shared" si="16"/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25"/>
    <row r="36" spans="3:6" x14ac:dyDescent="0.25">
      <c r="E36" s="140" t="str">
        <f>UPPER(E45)</f>
        <v>EVENTO REGULATÓRIO COMMIT/MITSUI - QUANTUM</v>
      </c>
    </row>
    <row r="37" spans="3:6" x14ac:dyDescent="0.25">
      <c r="F37" s="140" t="str">
        <f>UPPER(G15)</f>
        <v>NACIONAL</v>
      </c>
    </row>
    <row r="40" spans="3:6" x14ac:dyDescent="0.25">
      <c r="F40" t="s">
        <v>762</v>
      </c>
    </row>
    <row r="41" spans="3:6" x14ac:dyDescent="0.25">
      <c r="C41" t="s">
        <v>769</v>
      </c>
    </row>
    <row r="43" spans="3:6" x14ac:dyDescent="0.25">
      <c r="F43" t="s">
        <v>766</v>
      </c>
    </row>
    <row r="45" spans="3:6" x14ac:dyDescent="0.25">
      <c r="E45" t="s">
        <v>773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6" sqref="D6:E6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26" t="s">
        <v>229</v>
      </c>
      <c r="B5" s="126" t="s">
        <v>229</v>
      </c>
      <c r="C5" s="143" t="s">
        <v>698</v>
      </c>
      <c r="D5" s="47">
        <v>0</v>
      </c>
      <c r="E5" s="110" t="s">
        <v>561</v>
      </c>
      <c r="F5" s="143" t="s">
        <v>789</v>
      </c>
      <c r="G5" s="76" t="s">
        <v>31</v>
      </c>
      <c r="H5" s="76" t="s">
        <v>32</v>
      </c>
      <c r="I5" s="76" t="s">
        <v>33</v>
      </c>
      <c r="J5" s="143" t="s">
        <v>61</v>
      </c>
      <c r="K5" s="143" t="s">
        <v>62</v>
      </c>
      <c r="L5" s="117">
        <v>45257</v>
      </c>
      <c r="M5" s="117">
        <v>45260</v>
      </c>
      <c r="N5" s="130">
        <f>2296.41/2</f>
        <v>1148.2049999999999</v>
      </c>
      <c r="O5" s="130">
        <f>2296.41/2</f>
        <v>1148.2049999999999</v>
      </c>
      <c r="P5" s="130">
        <f t="shared" ref="P5:P16" si="0">SUM(N5:O5)</f>
        <v>2296.41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9"/>
    </row>
    <row r="6" spans="1:24" s="119" customFormat="1" ht="14.4" x14ac:dyDescent="0.3">
      <c r="A6" s="126" t="s">
        <v>229</v>
      </c>
      <c r="B6" s="139" t="s">
        <v>362</v>
      </c>
      <c r="C6" s="135" t="s">
        <v>788</v>
      </c>
      <c r="D6" s="47">
        <v>393</v>
      </c>
      <c r="E6" s="144" t="s">
        <v>796</v>
      </c>
      <c r="F6" s="143" t="s">
        <v>789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45257</v>
      </c>
      <c r="M6" s="117">
        <v>45260</v>
      </c>
      <c r="N6" s="130">
        <f>1979.29/2</f>
        <v>989.64499999999998</v>
      </c>
      <c r="O6" s="130">
        <f>1979.29/2</f>
        <v>989.64499999999998</v>
      </c>
      <c r="P6" s="130">
        <f t="shared" si="0"/>
        <v>1979.29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9"/>
    </row>
    <row r="7" spans="1:24" s="119" customFormat="1" ht="14.4" x14ac:dyDescent="0.25">
      <c r="A7" s="126" t="s">
        <v>229</v>
      </c>
      <c r="B7" s="126" t="s">
        <v>229</v>
      </c>
      <c r="C7" s="135" t="s">
        <v>698</v>
      </c>
      <c r="D7" s="47">
        <v>0</v>
      </c>
      <c r="E7" s="110" t="s">
        <v>561</v>
      </c>
      <c r="F7" s="144" t="s">
        <v>73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45237</v>
      </c>
      <c r="M7" s="117">
        <v>45241</v>
      </c>
      <c r="N7" s="130">
        <f>3464.21/2</f>
        <v>1732.105</v>
      </c>
      <c r="O7" s="130">
        <f>3464.21/2</f>
        <v>1732.105</v>
      </c>
      <c r="P7" s="130">
        <f t="shared" si="0"/>
        <v>3464.21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9"/>
    </row>
    <row r="8" spans="1:24" s="119" customFormat="1" ht="14.4" x14ac:dyDescent="0.3">
      <c r="A8" s="126" t="s">
        <v>250</v>
      </c>
      <c r="B8" s="139" t="s">
        <v>250</v>
      </c>
      <c r="C8" s="143" t="s">
        <v>378</v>
      </c>
      <c r="D8" s="47">
        <v>0</v>
      </c>
      <c r="E8" s="125" t="s">
        <v>55</v>
      </c>
      <c r="F8" s="138" t="s">
        <v>790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45258</v>
      </c>
      <c r="M8" s="117">
        <v>45259</v>
      </c>
      <c r="N8" s="130">
        <f>4699.52/2</f>
        <v>2349.7600000000002</v>
      </c>
      <c r="O8" s="130">
        <f>4699.52/2</f>
        <v>2349.7600000000002</v>
      </c>
      <c r="P8" s="130">
        <f t="shared" si="0"/>
        <v>4699.5200000000004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9"/>
    </row>
    <row r="9" spans="1:24" s="119" customFormat="1" ht="14.4" x14ac:dyDescent="0.3">
      <c r="A9" s="126" t="s">
        <v>229</v>
      </c>
      <c r="B9" s="139" t="s">
        <v>229</v>
      </c>
      <c r="C9" s="143" t="s">
        <v>698</v>
      </c>
      <c r="D9" s="47">
        <v>0</v>
      </c>
      <c r="E9" s="110" t="s">
        <v>561</v>
      </c>
      <c r="F9" s="138" t="s">
        <v>791</v>
      </c>
      <c r="G9" s="76" t="s">
        <v>31</v>
      </c>
      <c r="H9" s="76" t="s">
        <v>32</v>
      </c>
      <c r="I9" s="76" t="s">
        <v>33</v>
      </c>
      <c r="J9" s="143" t="s">
        <v>61</v>
      </c>
      <c r="K9" s="143" t="s">
        <v>62</v>
      </c>
      <c r="L9" s="117">
        <v>45236</v>
      </c>
      <c r="M9" s="117">
        <v>45237</v>
      </c>
      <c r="N9" s="130">
        <f>3364.89/2</f>
        <v>1682.4449999999999</v>
      </c>
      <c r="O9" s="130">
        <f>3364.89/2</f>
        <v>1682.4449999999999</v>
      </c>
      <c r="P9" s="130">
        <f t="shared" si="0"/>
        <v>3364.89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9"/>
    </row>
    <row r="10" spans="1:24" s="119" customFormat="1" ht="14.4" x14ac:dyDescent="0.3">
      <c r="A10" s="126" t="s">
        <v>229</v>
      </c>
      <c r="B10" s="139" t="s">
        <v>214</v>
      </c>
      <c r="C10" s="143" t="s">
        <v>745</v>
      </c>
      <c r="D10" s="47">
        <v>386</v>
      </c>
      <c r="E10" s="143" t="s">
        <v>221</v>
      </c>
      <c r="F10" s="138" t="s">
        <v>792</v>
      </c>
      <c r="G10" s="76" t="s">
        <v>31</v>
      </c>
      <c r="H10" s="76" t="s">
        <v>32</v>
      </c>
      <c r="I10" s="76" t="s">
        <v>33</v>
      </c>
      <c r="J10" s="143" t="s">
        <v>38</v>
      </c>
      <c r="K10" s="143" t="s">
        <v>39</v>
      </c>
      <c r="L10" s="117">
        <v>45253</v>
      </c>
      <c r="M10" s="117">
        <v>45254</v>
      </c>
      <c r="N10" s="130">
        <f>5920.25</f>
        <v>5920.25</v>
      </c>
      <c r="O10" s="130">
        <v>1055.73</v>
      </c>
      <c r="P10" s="130">
        <f t="shared" si="0"/>
        <v>6975.98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9"/>
    </row>
    <row r="11" spans="1:24" s="119" customFormat="1" ht="14.4" x14ac:dyDescent="0.3">
      <c r="A11" s="126"/>
      <c r="B11" s="139" t="s">
        <v>225</v>
      </c>
      <c r="C11" s="143" t="s">
        <v>42</v>
      </c>
      <c r="D11" s="47">
        <v>232</v>
      </c>
      <c r="E11" s="143" t="s">
        <v>54</v>
      </c>
      <c r="F11" s="138" t="s">
        <v>794</v>
      </c>
      <c r="G11" s="76" t="s">
        <v>31</v>
      </c>
      <c r="H11" s="76" t="s">
        <v>32</v>
      </c>
      <c r="I11" s="76" t="s">
        <v>33</v>
      </c>
      <c r="J11" s="143" t="s">
        <v>102</v>
      </c>
      <c r="K11" s="143" t="s">
        <v>101</v>
      </c>
      <c r="L11" s="117">
        <v>45252</v>
      </c>
      <c r="M11" s="117">
        <v>45254</v>
      </c>
      <c r="N11" s="130">
        <f>2386.3/2</f>
        <v>1193.1500000000001</v>
      </c>
      <c r="O11" s="130">
        <f>2386.3/2</f>
        <v>1193.1500000000001</v>
      </c>
      <c r="P11" s="130">
        <f t="shared" si="0"/>
        <v>2386.3000000000002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9"/>
    </row>
    <row r="12" spans="1:24" s="119" customFormat="1" ht="14.4" x14ac:dyDescent="0.25">
      <c r="A12" s="126" t="s">
        <v>250</v>
      </c>
      <c r="B12" s="126" t="s">
        <v>212</v>
      </c>
      <c r="C12" s="128" t="s">
        <v>270</v>
      </c>
      <c r="D12" s="47" t="s">
        <v>173</v>
      </c>
      <c r="E12" s="111" t="s">
        <v>599</v>
      </c>
      <c r="F12" s="138" t="s">
        <v>795</v>
      </c>
      <c r="G12" s="76" t="s">
        <v>31</v>
      </c>
      <c r="H12" s="76" t="s">
        <v>32</v>
      </c>
      <c r="I12" s="76" t="s">
        <v>33</v>
      </c>
      <c r="J12" s="143" t="s">
        <v>32</v>
      </c>
      <c r="K12" s="143" t="s">
        <v>390</v>
      </c>
      <c r="L12" s="117">
        <v>45243</v>
      </c>
      <c r="M12" s="117">
        <v>45244</v>
      </c>
      <c r="N12" s="130">
        <f>1429.3/2</f>
        <v>714.65</v>
      </c>
      <c r="O12" s="130">
        <f>1429.3/2</f>
        <v>714.65</v>
      </c>
      <c r="P12" s="130">
        <f t="shared" si="0"/>
        <v>1429.3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9"/>
    </row>
    <row r="13" spans="1:24" s="119" customFormat="1" ht="14.4" x14ac:dyDescent="0.25">
      <c r="A13" s="126" t="s">
        <v>250</v>
      </c>
      <c r="B13" s="126" t="s">
        <v>258</v>
      </c>
      <c r="C13" s="128" t="s">
        <v>375</v>
      </c>
      <c r="D13" s="47">
        <v>65</v>
      </c>
      <c r="E13" s="143" t="s">
        <v>797</v>
      </c>
      <c r="F13" s="138" t="s">
        <v>793</v>
      </c>
      <c r="G13" s="76" t="s">
        <v>31</v>
      </c>
      <c r="H13" s="76" t="s">
        <v>32</v>
      </c>
      <c r="I13" s="76" t="s">
        <v>33</v>
      </c>
      <c r="J13" s="143" t="s">
        <v>61</v>
      </c>
      <c r="K13" s="143" t="s">
        <v>62</v>
      </c>
      <c r="L13" s="117">
        <v>45236</v>
      </c>
      <c r="M13" s="117">
        <v>45237</v>
      </c>
      <c r="N13" s="130">
        <f>3474.52/2</f>
        <v>1737.26</v>
      </c>
      <c r="O13" s="130">
        <f>3474.52/2</f>
        <v>1737.26</v>
      </c>
      <c r="P13" s="130">
        <f t="shared" si="0"/>
        <v>3474.52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9"/>
    </row>
    <row r="14" spans="1:24" s="119" customFormat="1" ht="14.4" x14ac:dyDescent="0.25">
      <c r="A14" s="126" t="s">
        <v>250</v>
      </c>
      <c r="B14" s="126" t="s">
        <v>250</v>
      </c>
      <c r="C14" s="128" t="s">
        <v>378</v>
      </c>
      <c r="D14" s="47">
        <v>0</v>
      </c>
      <c r="E14" s="125" t="s">
        <v>55</v>
      </c>
      <c r="F14" s="138" t="s">
        <v>791</v>
      </c>
      <c r="G14" s="76" t="s">
        <v>31</v>
      </c>
      <c r="H14" s="76" t="s">
        <v>32</v>
      </c>
      <c r="I14" s="76" t="s">
        <v>33</v>
      </c>
      <c r="J14" s="143" t="s">
        <v>61</v>
      </c>
      <c r="K14" s="143" t="s">
        <v>62</v>
      </c>
      <c r="L14" s="117">
        <v>45238</v>
      </c>
      <c r="M14" s="117">
        <v>45238</v>
      </c>
      <c r="N14" s="130">
        <f>1687.36/2</f>
        <v>843.68</v>
      </c>
      <c r="O14" s="130">
        <f>1687.36/2</f>
        <v>843.68</v>
      </c>
      <c r="P14" s="130">
        <f t="shared" si="0"/>
        <v>1687.36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9"/>
    </row>
    <row r="15" spans="1:24" s="119" customFormat="1" ht="14.4" x14ac:dyDescent="0.25">
      <c r="A15" s="126" t="s">
        <v>229</v>
      </c>
      <c r="B15" s="138" t="s">
        <v>229</v>
      </c>
      <c r="C15" s="128" t="s">
        <v>757</v>
      </c>
      <c r="D15" s="47">
        <v>392</v>
      </c>
      <c r="E15" s="143" t="s">
        <v>798</v>
      </c>
      <c r="F15" s="138" t="s">
        <v>791</v>
      </c>
      <c r="G15" s="76" t="s">
        <v>31</v>
      </c>
      <c r="H15" s="76" t="s">
        <v>32</v>
      </c>
      <c r="I15" s="76" t="s">
        <v>33</v>
      </c>
      <c r="J15" s="143" t="s">
        <v>61</v>
      </c>
      <c r="K15" s="143" t="s">
        <v>62</v>
      </c>
      <c r="L15" s="117">
        <v>45236</v>
      </c>
      <c r="M15" s="117">
        <v>45237</v>
      </c>
      <c r="N15" s="130">
        <f>4185.9/2</f>
        <v>2092.9499999999998</v>
      </c>
      <c r="O15" s="130">
        <f>4185.9/2</f>
        <v>2092.9499999999998</v>
      </c>
      <c r="P15" s="130">
        <f t="shared" si="0"/>
        <v>4185.8999999999996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9"/>
    </row>
    <row r="16" spans="1:24" s="119" customFormat="1" ht="14.4" x14ac:dyDescent="0.25">
      <c r="A16" s="126" t="s">
        <v>229</v>
      </c>
      <c r="B16" s="138" t="s">
        <v>239</v>
      </c>
      <c r="C16" s="128" t="s">
        <v>697</v>
      </c>
      <c r="D16" s="47">
        <v>394</v>
      </c>
      <c r="E16" s="138" t="s">
        <v>705</v>
      </c>
      <c r="F16" s="138" t="s">
        <v>791</v>
      </c>
      <c r="G16" s="76" t="s">
        <v>31</v>
      </c>
      <c r="H16" s="76" t="s">
        <v>32</v>
      </c>
      <c r="I16" s="76" t="s">
        <v>33</v>
      </c>
      <c r="J16" s="143" t="s">
        <v>61</v>
      </c>
      <c r="K16" s="143" t="s">
        <v>62</v>
      </c>
      <c r="L16" s="117">
        <v>45236</v>
      </c>
      <c r="M16" s="117">
        <v>45237</v>
      </c>
      <c r="N16" s="130">
        <f>4185.9/2</f>
        <v>2092.9499999999998</v>
      </c>
      <c r="O16" s="130">
        <f>4185.9/2</f>
        <v>2092.9499999999998</v>
      </c>
      <c r="P16" s="130">
        <f t="shared" si="0"/>
        <v>4185.8999999999996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9"/>
    </row>
    <row r="17" ht="14.25" customHeight="1" x14ac:dyDescent="0.25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5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26" t="s">
        <v>229</v>
      </c>
      <c r="B5" s="126" t="s">
        <v>227</v>
      </c>
      <c r="C5" s="145" t="s">
        <v>728</v>
      </c>
      <c r="D5" s="47">
        <v>387</v>
      </c>
      <c r="E5" s="138" t="s">
        <v>262</v>
      </c>
      <c r="F5" s="145" t="s">
        <v>799</v>
      </c>
      <c r="G5" s="76" t="s">
        <v>31</v>
      </c>
      <c r="H5" s="76" t="s">
        <v>32</v>
      </c>
      <c r="I5" s="76" t="s">
        <v>33</v>
      </c>
      <c r="J5" s="145" t="s">
        <v>38</v>
      </c>
      <c r="K5" s="145" t="s">
        <v>39</v>
      </c>
      <c r="L5" s="117">
        <v>45271</v>
      </c>
      <c r="M5" s="117">
        <v>45272</v>
      </c>
      <c r="N5" s="130">
        <f>1634.81/2</f>
        <v>817.40499999999997</v>
      </c>
      <c r="O5" s="130">
        <f>1634.81/2</f>
        <v>817.40499999999997</v>
      </c>
      <c r="P5" s="130">
        <f t="shared" ref="P5:P10" si="0">SUM(N5:O5)</f>
        <v>1634.81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9"/>
    </row>
    <row r="6" spans="1:24" s="119" customFormat="1" ht="14.4" x14ac:dyDescent="0.25">
      <c r="A6" s="126" t="s">
        <v>229</v>
      </c>
      <c r="B6" s="126" t="s">
        <v>229</v>
      </c>
      <c r="C6" s="135" t="s">
        <v>698</v>
      </c>
      <c r="D6" s="47">
        <v>0</v>
      </c>
      <c r="E6" s="110" t="s">
        <v>561</v>
      </c>
      <c r="F6" s="143" t="s">
        <v>800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45266</v>
      </c>
      <c r="M6" s="117">
        <v>45268</v>
      </c>
      <c r="N6" s="130">
        <f>2945.25/2</f>
        <v>1472.625</v>
      </c>
      <c r="O6" s="130">
        <f>2945.25/2</f>
        <v>1472.625</v>
      </c>
      <c r="P6" s="130">
        <f t="shared" si="0"/>
        <v>2945.25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9"/>
    </row>
    <row r="7" spans="1:24" s="119" customFormat="1" ht="14.4" x14ac:dyDescent="0.25">
      <c r="A7" s="126" t="s">
        <v>250</v>
      </c>
      <c r="B7" s="126" t="s">
        <v>250</v>
      </c>
      <c r="C7" s="135" t="s">
        <v>378</v>
      </c>
      <c r="D7" s="47">
        <v>0</v>
      </c>
      <c r="E7" s="110" t="s">
        <v>55</v>
      </c>
      <c r="F7" s="143" t="s">
        <v>801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45273</v>
      </c>
      <c r="M7" s="117">
        <v>45274</v>
      </c>
      <c r="N7" s="130">
        <f>2092/2</f>
        <v>1046</v>
      </c>
      <c r="O7" s="130">
        <f>2092/2</f>
        <v>1046</v>
      </c>
      <c r="P7" s="130">
        <f t="shared" si="0"/>
        <v>2092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9"/>
    </row>
    <row r="8" spans="1:24" s="119" customFormat="1" ht="14.4" x14ac:dyDescent="0.25">
      <c r="A8" s="126" t="s">
        <v>250</v>
      </c>
      <c r="B8" s="126" t="s">
        <v>258</v>
      </c>
      <c r="C8" s="135" t="s">
        <v>802</v>
      </c>
      <c r="D8" s="47">
        <v>404</v>
      </c>
      <c r="E8" s="110" t="s">
        <v>804</v>
      </c>
      <c r="F8" s="143" t="s">
        <v>800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45267</v>
      </c>
      <c r="M8" s="117">
        <v>45268</v>
      </c>
      <c r="N8" s="130">
        <f>2884/2</f>
        <v>1442</v>
      </c>
      <c r="O8" s="130">
        <f>2884/2</f>
        <v>1442</v>
      </c>
      <c r="P8" s="130">
        <f t="shared" si="0"/>
        <v>2884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9"/>
    </row>
    <row r="9" spans="1:24" s="119" customFormat="1" ht="14.4" x14ac:dyDescent="0.25">
      <c r="A9" s="126" t="s">
        <v>250</v>
      </c>
      <c r="B9" s="126" t="s">
        <v>212</v>
      </c>
      <c r="C9" s="135" t="s">
        <v>270</v>
      </c>
      <c r="D9" s="47" t="s">
        <v>173</v>
      </c>
      <c r="E9" s="110" t="s">
        <v>599</v>
      </c>
      <c r="F9" s="143" t="s">
        <v>803</v>
      </c>
      <c r="G9" s="76" t="s">
        <v>31</v>
      </c>
      <c r="H9" s="76" t="s">
        <v>32</v>
      </c>
      <c r="I9" s="76" t="s">
        <v>33</v>
      </c>
      <c r="J9" s="143" t="s">
        <v>32</v>
      </c>
      <c r="K9" s="143" t="s">
        <v>390</v>
      </c>
      <c r="L9" s="117">
        <v>45273</v>
      </c>
      <c r="M9" s="117">
        <v>45274</v>
      </c>
      <c r="N9" s="130">
        <f>979.78/2</f>
        <v>489.89</v>
      </c>
      <c r="O9" s="130">
        <f>979.78/2</f>
        <v>489.89</v>
      </c>
      <c r="P9" s="130">
        <f t="shared" si="0"/>
        <v>979.78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9"/>
    </row>
    <row r="10" spans="1:24" s="119" customFormat="1" ht="14.4" x14ac:dyDescent="0.25">
      <c r="A10" s="126" t="s">
        <v>250</v>
      </c>
      <c r="B10" s="126" t="s">
        <v>212</v>
      </c>
      <c r="C10" s="135" t="s">
        <v>612</v>
      </c>
      <c r="D10" s="47">
        <v>365</v>
      </c>
      <c r="E10" s="110" t="s">
        <v>52</v>
      </c>
      <c r="F10" s="143" t="s">
        <v>803</v>
      </c>
      <c r="G10" s="76" t="s">
        <v>31</v>
      </c>
      <c r="H10" s="76" t="s">
        <v>32</v>
      </c>
      <c r="I10" s="76" t="s">
        <v>33</v>
      </c>
      <c r="J10" s="143" t="s">
        <v>32</v>
      </c>
      <c r="K10" s="143" t="s">
        <v>390</v>
      </c>
      <c r="L10" s="117">
        <v>45273</v>
      </c>
      <c r="M10" s="117">
        <v>45274</v>
      </c>
      <c r="N10" s="130">
        <f>979.78/2</f>
        <v>489.89</v>
      </c>
      <c r="O10" s="130">
        <f>979.78/2</f>
        <v>489.89</v>
      </c>
      <c r="P10" s="130">
        <f t="shared" si="0"/>
        <v>979.78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9"/>
    </row>
    <row r="11" spans="1:24" ht="14.25" customHeight="1" x14ac:dyDescent="0.25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6" t="s">
        <v>805</v>
      </c>
      <c r="G5" s="76" t="s">
        <v>31</v>
      </c>
      <c r="H5" s="76" t="s">
        <v>32</v>
      </c>
      <c r="I5" s="76" t="s">
        <v>33</v>
      </c>
      <c r="J5" s="146" t="s">
        <v>61</v>
      </c>
      <c r="K5" s="146" t="s">
        <v>62</v>
      </c>
      <c r="L5" s="117">
        <v>45300</v>
      </c>
      <c r="M5" s="117">
        <v>45303</v>
      </c>
      <c r="N5" s="130">
        <f>3367.92/2</f>
        <v>1683.96</v>
      </c>
      <c r="O5" s="130">
        <f>3367.92/2</f>
        <v>1683.96</v>
      </c>
      <c r="P5" s="130">
        <f t="shared" ref="P5:P7" si="0">SUM(N5:O5)</f>
        <v>3367.92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9"/>
    </row>
    <row r="6" spans="1:24" s="119" customFormat="1" ht="14.4" x14ac:dyDescent="0.25">
      <c r="A6" s="146" t="s">
        <v>372</v>
      </c>
      <c r="B6" s="126" t="s">
        <v>238</v>
      </c>
      <c r="C6" s="146" t="s">
        <v>447</v>
      </c>
      <c r="D6" s="47">
        <v>336</v>
      </c>
      <c r="E6" s="138" t="s">
        <v>309</v>
      </c>
      <c r="F6" s="146" t="s">
        <v>740</v>
      </c>
      <c r="G6" s="76" t="s">
        <v>31</v>
      </c>
      <c r="H6" s="76" t="s">
        <v>32</v>
      </c>
      <c r="I6" s="76" t="s">
        <v>33</v>
      </c>
      <c r="J6" s="146" t="s">
        <v>38</v>
      </c>
      <c r="K6" s="146" t="s">
        <v>39</v>
      </c>
      <c r="L6" s="117">
        <v>45312</v>
      </c>
      <c r="M6" s="117">
        <v>45313</v>
      </c>
      <c r="N6" s="130">
        <f>1485.78/2</f>
        <v>742.89</v>
      </c>
      <c r="O6" s="130">
        <f>1485.78/2</f>
        <v>742.89</v>
      </c>
      <c r="P6" s="130">
        <f t="shared" si="0"/>
        <v>1485.78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9"/>
    </row>
    <row r="7" spans="1:24" s="119" customFormat="1" ht="14.4" x14ac:dyDescent="0.25">
      <c r="A7" s="126" t="s">
        <v>229</v>
      </c>
      <c r="B7" s="126" t="s">
        <v>214</v>
      </c>
      <c r="C7" s="146" t="s">
        <v>745</v>
      </c>
      <c r="D7" s="47">
        <v>386</v>
      </c>
      <c r="E7" s="143" t="s">
        <v>221</v>
      </c>
      <c r="F7" s="146" t="s">
        <v>740</v>
      </c>
      <c r="G7" s="76" t="s">
        <v>31</v>
      </c>
      <c r="H7" s="76" t="s">
        <v>32</v>
      </c>
      <c r="I7" s="76" t="s">
        <v>33</v>
      </c>
      <c r="J7" s="146" t="s">
        <v>38</v>
      </c>
      <c r="K7" s="146" t="s">
        <v>39</v>
      </c>
      <c r="L7" s="117">
        <v>45312</v>
      </c>
      <c r="M7" s="117">
        <v>45313</v>
      </c>
      <c r="N7" s="130">
        <f>1558.31/2</f>
        <v>779.15499999999997</v>
      </c>
      <c r="O7" s="130">
        <f>1558.31/2</f>
        <v>779.15499999999997</v>
      </c>
      <c r="P7" s="130">
        <f t="shared" si="0"/>
        <v>1558.31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9"/>
    </row>
    <row r="8" spans="1:24" ht="14.25" customHeight="1" x14ac:dyDescent="0.25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18" sqref="D18:E18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28.8" x14ac:dyDescent="0.25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8" t="s">
        <v>806</v>
      </c>
      <c r="G5" s="76" t="s">
        <v>31</v>
      </c>
      <c r="H5" s="76" t="s">
        <v>32</v>
      </c>
      <c r="I5" s="76" t="s">
        <v>33</v>
      </c>
      <c r="J5" s="147" t="s">
        <v>32</v>
      </c>
      <c r="K5" s="147" t="s">
        <v>390</v>
      </c>
      <c r="L5" s="117">
        <v>45327</v>
      </c>
      <c r="M5" s="117">
        <v>45329</v>
      </c>
      <c r="N5" s="130">
        <f>1227.84/2</f>
        <v>613.91999999999996</v>
      </c>
      <c r="O5" s="130">
        <f>1227.84/2</f>
        <v>613.91999999999996</v>
      </c>
      <c r="P5" s="130">
        <f t="shared" ref="P5:P10" si="0">SUM(N5:O5)</f>
        <v>1227.8399999999999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9"/>
    </row>
    <row r="6" spans="1:24" s="119" customFormat="1" ht="28.8" x14ac:dyDescent="0.25">
      <c r="A6" s="126" t="s">
        <v>250</v>
      </c>
      <c r="B6" s="126" t="s">
        <v>250</v>
      </c>
      <c r="C6" s="146" t="s">
        <v>670</v>
      </c>
      <c r="D6" s="47">
        <v>383</v>
      </c>
      <c r="E6" s="110" t="s">
        <v>703</v>
      </c>
      <c r="F6" s="148" t="s">
        <v>806</v>
      </c>
      <c r="G6" s="76" t="s">
        <v>31</v>
      </c>
      <c r="H6" s="76" t="s">
        <v>32</v>
      </c>
      <c r="I6" s="76" t="s">
        <v>33</v>
      </c>
      <c r="J6" s="147" t="s">
        <v>32</v>
      </c>
      <c r="K6" s="147" t="s">
        <v>390</v>
      </c>
      <c r="L6" s="117">
        <v>45327</v>
      </c>
      <c r="M6" s="117">
        <v>45329</v>
      </c>
      <c r="N6" s="130">
        <f>1204.78/2</f>
        <v>602.39</v>
      </c>
      <c r="O6" s="130">
        <f>1204.78/2</f>
        <v>602.39</v>
      </c>
      <c r="P6" s="130">
        <f t="shared" si="0"/>
        <v>1204.78</v>
      </c>
      <c r="Q6" s="79">
        <v>3</v>
      </c>
      <c r="R6" s="118">
        <v>120</v>
      </c>
      <c r="S6" s="79">
        <v>0</v>
      </c>
      <c r="T6" s="118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9"/>
    </row>
    <row r="7" spans="1:24" s="119" customFormat="1" ht="28.8" x14ac:dyDescent="0.25">
      <c r="A7" s="126" t="s">
        <v>250</v>
      </c>
      <c r="B7" s="126" t="s">
        <v>258</v>
      </c>
      <c r="C7" s="146" t="s">
        <v>802</v>
      </c>
      <c r="D7" s="47">
        <v>404</v>
      </c>
      <c r="E7" s="110" t="s">
        <v>804</v>
      </c>
      <c r="F7" s="148" t="s">
        <v>806</v>
      </c>
      <c r="G7" s="76" t="s">
        <v>31</v>
      </c>
      <c r="H7" s="76" t="s">
        <v>32</v>
      </c>
      <c r="I7" s="76" t="s">
        <v>33</v>
      </c>
      <c r="J7" s="147" t="s">
        <v>32</v>
      </c>
      <c r="K7" s="147" t="s">
        <v>390</v>
      </c>
      <c r="L7" s="117">
        <v>45327</v>
      </c>
      <c r="M7" s="117">
        <v>45329</v>
      </c>
      <c r="N7" s="130">
        <f>1204.78/2</f>
        <v>602.39</v>
      </c>
      <c r="O7" s="130">
        <f>1204.78/2</f>
        <v>602.39</v>
      </c>
      <c r="P7" s="130">
        <f t="shared" si="0"/>
        <v>1204.78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9"/>
    </row>
    <row r="8" spans="1:24" s="119" customFormat="1" ht="28.8" x14ac:dyDescent="0.25">
      <c r="A8" s="126" t="s">
        <v>229</v>
      </c>
      <c r="B8" s="126" t="s">
        <v>214</v>
      </c>
      <c r="C8" s="146" t="s">
        <v>745</v>
      </c>
      <c r="D8" s="47">
        <v>386</v>
      </c>
      <c r="E8" s="110" t="s">
        <v>221</v>
      </c>
      <c r="F8" s="148" t="s">
        <v>806</v>
      </c>
      <c r="G8" s="76" t="s">
        <v>31</v>
      </c>
      <c r="H8" s="76" t="s">
        <v>32</v>
      </c>
      <c r="I8" s="76" t="s">
        <v>33</v>
      </c>
      <c r="J8" s="147" t="s">
        <v>32</v>
      </c>
      <c r="K8" s="147" t="s">
        <v>390</v>
      </c>
      <c r="L8" s="117">
        <v>45327</v>
      </c>
      <c r="M8" s="117">
        <v>45329</v>
      </c>
      <c r="N8" s="130">
        <f>1227.84/2</f>
        <v>613.91999999999996</v>
      </c>
      <c r="O8" s="130">
        <f>1227.84/2</f>
        <v>613.91999999999996</v>
      </c>
      <c r="P8" s="130">
        <f t="shared" si="0"/>
        <v>1227.8399999999999</v>
      </c>
      <c r="Q8" s="79">
        <v>3</v>
      </c>
      <c r="R8" s="118">
        <v>120</v>
      </c>
      <c r="S8" s="79">
        <v>0</v>
      </c>
      <c r="T8" s="118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9"/>
    </row>
    <row r="9" spans="1:24" s="119" customFormat="1" ht="28.8" x14ac:dyDescent="0.25">
      <c r="A9" s="126" t="s">
        <v>250</v>
      </c>
      <c r="B9" s="126" t="s">
        <v>759</v>
      </c>
      <c r="C9" s="146" t="s">
        <v>729</v>
      </c>
      <c r="D9" s="47">
        <v>390</v>
      </c>
      <c r="E9" s="110" t="s">
        <v>783</v>
      </c>
      <c r="F9" s="148" t="s">
        <v>806</v>
      </c>
      <c r="G9" s="76" t="s">
        <v>31</v>
      </c>
      <c r="H9" s="76" t="s">
        <v>32</v>
      </c>
      <c r="I9" s="76" t="s">
        <v>33</v>
      </c>
      <c r="J9" s="147" t="s">
        <v>32</v>
      </c>
      <c r="K9" s="147" t="s">
        <v>390</v>
      </c>
      <c r="L9" s="117">
        <v>45327</v>
      </c>
      <c r="M9" s="117">
        <v>45329</v>
      </c>
      <c r="N9" s="130">
        <f>1517.71/2</f>
        <v>758.85500000000002</v>
      </c>
      <c r="O9" s="130">
        <f>1517.71/2</f>
        <v>758.85500000000002</v>
      </c>
      <c r="P9" s="130">
        <f t="shared" si="0"/>
        <v>1517.71</v>
      </c>
      <c r="Q9" s="79">
        <v>3</v>
      </c>
      <c r="R9" s="118">
        <v>120</v>
      </c>
      <c r="S9" s="79">
        <v>0</v>
      </c>
      <c r="T9" s="118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9"/>
    </row>
    <row r="10" spans="1:24" s="119" customFormat="1" ht="28.8" x14ac:dyDescent="0.25">
      <c r="A10" s="126" t="s">
        <v>229</v>
      </c>
      <c r="B10" s="126" t="s">
        <v>229</v>
      </c>
      <c r="C10" s="146" t="s">
        <v>757</v>
      </c>
      <c r="D10" s="47">
        <v>392</v>
      </c>
      <c r="E10" s="110" t="s">
        <v>784</v>
      </c>
      <c r="F10" s="148" t="s">
        <v>806</v>
      </c>
      <c r="G10" s="76" t="s">
        <v>31</v>
      </c>
      <c r="H10" s="76" t="s">
        <v>32</v>
      </c>
      <c r="I10" s="76" t="s">
        <v>33</v>
      </c>
      <c r="J10" s="147" t="s">
        <v>32</v>
      </c>
      <c r="K10" s="147" t="s">
        <v>390</v>
      </c>
      <c r="L10" s="117">
        <v>45327</v>
      </c>
      <c r="M10" s="117">
        <v>45329</v>
      </c>
      <c r="N10" s="130">
        <f>1517.71/2</f>
        <v>758.85500000000002</v>
      </c>
      <c r="O10" s="130">
        <f>1517.71/2</f>
        <v>758.85500000000002</v>
      </c>
      <c r="P10" s="130">
        <f t="shared" si="0"/>
        <v>1517.71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9"/>
    </row>
    <row r="11" spans="1:24" s="119" customFormat="1" ht="14.4" x14ac:dyDescent="0.25">
      <c r="A11" s="126" t="s">
        <v>229</v>
      </c>
      <c r="B11" s="126" t="s">
        <v>229</v>
      </c>
      <c r="C11" s="146" t="s">
        <v>698</v>
      </c>
      <c r="D11" s="47">
        <v>0</v>
      </c>
      <c r="E11" s="110" t="s">
        <v>561</v>
      </c>
      <c r="F11" s="148" t="s">
        <v>807</v>
      </c>
      <c r="G11" s="76" t="s">
        <v>31</v>
      </c>
      <c r="H11" s="76" t="s">
        <v>32</v>
      </c>
      <c r="I11" s="76" t="s">
        <v>33</v>
      </c>
      <c r="J11" s="147" t="s">
        <v>61</v>
      </c>
      <c r="K11" s="147" t="s">
        <v>62</v>
      </c>
      <c r="L11" s="117">
        <v>45347</v>
      </c>
      <c r="M11" s="117">
        <v>46446</v>
      </c>
      <c r="N11" s="130">
        <f>1464.87/2</f>
        <v>732.43499999999995</v>
      </c>
      <c r="O11" s="130">
        <f>1464.87/2</f>
        <v>732.43499999999995</v>
      </c>
      <c r="P11" s="130">
        <f t="shared" ref="P11" si="7">SUM(N11:O11)</f>
        <v>1464.87</v>
      </c>
      <c r="Q11" s="79">
        <v>0</v>
      </c>
      <c r="R11" s="118">
        <v>120</v>
      </c>
      <c r="S11" s="79">
        <v>0</v>
      </c>
      <c r="T11" s="118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9"/>
    </row>
    <row r="12" spans="1:24" s="119" customFormat="1" ht="14.4" x14ac:dyDescent="0.25">
      <c r="A12" s="126" t="s">
        <v>250</v>
      </c>
      <c r="B12" s="126" t="s">
        <v>250</v>
      </c>
      <c r="C12" s="146" t="s">
        <v>378</v>
      </c>
      <c r="D12" s="47">
        <v>0</v>
      </c>
      <c r="E12" s="110" t="s">
        <v>55</v>
      </c>
      <c r="F12" s="148" t="s">
        <v>808</v>
      </c>
      <c r="G12" s="76" t="s">
        <v>31</v>
      </c>
      <c r="H12" s="76" t="s">
        <v>32</v>
      </c>
      <c r="I12" s="76" t="s">
        <v>33</v>
      </c>
      <c r="J12" s="147" t="s">
        <v>32</v>
      </c>
      <c r="K12" s="147" t="s">
        <v>390</v>
      </c>
      <c r="L12" s="117">
        <v>45349</v>
      </c>
      <c r="M12" s="117">
        <v>45351</v>
      </c>
      <c r="N12" s="130">
        <f>1122.64/2</f>
        <v>561.32000000000005</v>
      </c>
      <c r="O12" s="130">
        <f>1122.64/2</f>
        <v>561.32000000000005</v>
      </c>
      <c r="P12" s="130">
        <f t="shared" ref="P12:P16" si="11">SUM(N12:O12)</f>
        <v>1122.6400000000001</v>
      </c>
      <c r="Q12" s="79">
        <v>0</v>
      </c>
      <c r="R12" s="118">
        <v>120</v>
      </c>
      <c r="S12" s="79">
        <v>0</v>
      </c>
      <c r="T12" s="118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9"/>
    </row>
    <row r="13" spans="1:24" s="119" customFormat="1" ht="14.4" x14ac:dyDescent="0.25">
      <c r="A13" s="126" t="s">
        <v>250</v>
      </c>
      <c r="B13" s="126" t="s">
        <v>212</v>
      </c>
      <c r="C13" s="146" t="s">
        <v>40</v>
      </c>
      <c r="D13" s="47">
        <v>129</v>
      </c>
      <c r="E13" s="110" t="s">
        <v>812</v>
      </c>
      <c r="F13" s="148" t="s">
        <v>808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45349</v>
      </c>
      <c r="M13" s="117">
        <v>45351</v>
      </c>
      <c r="N13" s="130">
        <f>1122.63/2</f>
        <v>561.31500000000005</v>
      </c>
      <c r="O13" s="130">
        <f>1122.63/2</f>
        <v>561.31500000000005</v>
      </c>
      <c r="P13" s="130">
        <f t="shared" si="11"/>
        <v>1122.6300000000001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9"/>
    </row>
    <row r="14" spans="1:24" s="119" customFormat="1" ht="14.4" x14ac:dyDescent="0.25">
      <c r="A14" s="126" t="s">
        <v>250</v>
      </c>
      <c r="B14" s="126" t="s">
        <v>212</v>
      </c>
      <c r="C14" s="146" t="s">
        <v>612</v>
      </c>
      <c r="D14" s="47">
        <v>365</v>
      </c>
      <c r="E14" s="110" t="s">
        <v>52</v>
      </c>
      <c r="F14" s="148" t="s">
        <v>808</v>
      </c>
      <c r="G14" s="76" t="s">
        <v>31</v>
      </c>
      <c r="H14" s="76" t="s">
        <v>32</v>
      </c>
      <c r="I14" s="76" t="s">
        <v>33</v>
      </c>
      <c r="J14" s="147" t="s">
        <v>32</v>
      </c>
      <c r="K14" s="147" t="s">
        <v>390</v>
      </c>
      <c r="L14" s="117">
        <v>45349</v>
      </c>
      <c r="M14" s="117">
        <v>45351</v>
      </c>
      <c r="N14" s="130">
        <f>1122.64/2</f>
        <v>561.32000000000005</v>
      </c>
      <c r="O14" s="130">
        <f>1122.64/2</f>
        <v>561.32000000000005</v>
      </c>
      <c r="P14" s="130">
        <f t="shared" si="11"/>
        <v>1122.6400000000001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9"/>
    </row>
    <row r="15" spans="1:24" s="119" customFormat="1" ht="14.4" x14ac:dyDescent="0.25">
      <c r="A15" s="126" t="s">
        <v>250</v>
      </c>
      <c r="B15" s="126" t="s">
        <v>212</v>
      </c>
      <c r="C15" s="146" t="s">
        <v>270</v>
      </c>
      <c r="D15" s="47" t="s">
        <v>173</v>
      </c>
      <c r="E15" s="110" t="s">
        <v>599</v>
      </c>
      <c r="F15" s="148" t="s">
        <v>808</v>
      </c>
      <c r="G15" s="76" t="s">
        <v>31</v>
      </c>
      <c r="H15" s="76" t="s">
        <v>32</v>
      </c>
      <c r="I15" s="76" t="s">
        <v>33</v>
      </c>
      <c r="J15" s="147" t="s">
        <v>32</v>
      </c>
      <c r="K15" s="147" t="s">
        <v>390</v>
      </c>
      <c r="L15" s="117">
        <v>45349</v>
      </c>
      <c r="M15" s="117">
        <v>45351</v>
      </c>
      <c r="N15" s="130">
        <f>1122.64/2</f>
        <v>561.32000000000005</v>
      </c>
      <c r="O15" s="130">
        <f>1122.64/2</f>
        <v>561.32000000000005</v>
      </c>
      <c r="P15" s="130">
        <f t="shared" si="11"/>
        <v>1122.6400000000001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9"/>
    </row>
    <row r="16" spans="1:24" s="119" customFormat="1" ht="14.4" x14ac:dyDescent="0.25">
      <c r="A16" s="126" t="s">
        <v>250</v>
      </c>
      <c r="B16" s="126" t="s">
        <v>322</v>
      </c>
      <c r="C16" s="146" t="s">
        <v>323</v>
      </c>
      <c r="D16" s="47">
        <v>87</v>
      </c>
      <c r="E16" s="110" t="s">
        <v>329</v>
      </c>
      <c r="F16" s="148" t="s">
        <v>808</v>
      </c>
      <c r="G16" s="76" t="s">
        <v>31</v>
      </c>
      <c r="H16" s="76" t="s">
        <v>32</v>
      </c>
      <c r="I16" s="76" t="s">
        <v>33</v>
      </c>
      <c r="J16" s="147" t="s">
        <v>32</v>
      </c>
      <c r="K16" s="147" t="s">
        <v>390</v>
      </c>
      <c r="L16" s="117">
        <v>45349</v>
      </c>
      <c r="M16" s="117">
        <v>45351</v>
      </c>
      <c r="N16" s="130">
        <f>2726.78/2</f>
        <v>1363.39</v>
      </c>
      <c r="O16" s="130">
        <f>2726.78/2</f>
        <v>1363.39</v>
      </c>
      <c r="P16" s="130">
        <f t="shared" si="11"/>
        <v>2726.78</v>
      </c>
      <c r="Q16" s="79">
        <v>3</v>
      </c>
      <c r="R16" s="118">
        <v>120</v>
      </c>
      <c r="S16" s="79">
        <v>0</v>
      </c>
      <c r="T16" s="118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9"/>
    </row>
    <row r="17" spans="1:24" s="119" customFormat="1" ht="14.4" x14ac:dyDescent="0.25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48" t="s">
        <v>809</v>
      </c>
      <c r="G17" s="76" t="s">
        <v>31</v>
      </c>
      <c r="H17" s="76" t="s">
        <v>32</v>
      </c>
      <c r="I17" s="76" t="s">
        <v>33</v>
      </c>
      <c r="J17" s="147" t="s">
        <v>61</v>
      </c>
      <c r="K17" s="147" t="s">
        <v>413</v>
      </c>
      <c r="L17" s="117">
        <v>45342</v>
      </c>
      <c r="M17" s="117">
        <v>45343</v>
      </c>
      <c r="N17" s="130">
        <f>2941.87/2</f>
        <v>1470.9349999999999</v>
      </c>
      <c r="O17" s="130">
        <f>2941.87/2</f>
        <v>1470.9349999999999</v>
      </c>
      <c r="P17" s="130">
        <f t="shared" ref="P17" si="15">SUM(N17:O17)</f>
        <v>2941.87</v>
      </c>
      <c r="Q17" s="79">
        <v>2</v>
      </c>
      <c r="R17" s="118">
        <v>120</v>
      </c>
      <c r="S17" s="79">
        <v>0</v>
      </c>
      <c r="T17" s="118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9"/>
    </row>
    <row r="18" spans="1:24" s="119" customFormat="1" ht="14.4" x14ac:dyDescent="0.25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48" t="s">
        <v>809</v>
      </c>
      <c r="G18" s="76" t="s">
        <v>31</v>
      </c>
      <c r="H18" s="76" t="s">
        <v>32</v>
      </c>
      <c r="I18" s="76" t="s">
        <v>33</v>
      </c>
      <c r="J18" s="147" t="s">
        <v>61</v>
      </c>
      <c r="K18" s="147" t="s">
        <v>413</v>
      </c>
      <c r="L18" s="117">
        <v>45342</v>
      </c>
      <c r="M18" s="117">
        <v>45343</v>
      </c>
      <c r="N18" s="130">
        <f>2941.87/2</f>
        <v>1470.9349999999999</v>
      </c>
      <c r="O18" s="130">
        <f>2941.87/2</f>
        <v>1470.9349999999999</v>
      </c>
      <c r="P18" s="130">
        <f t="shared" ref="P18" si="19">SUM(N18:O18)</f>
        <v>2941.87</v>
      </c>
      <c r="Q18" s="79">
        <v>2</v>
      </c>
      <c r="R18" s="118">
        <v>120</v>
      </c>
      <c r="S18" s="79">
        <v>0</v>
      </c>
      <c r="T18" s="118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9"/>
    </row>
    <row r="19" spans="1:24" s="119" customFormat="1" ht="14.4" x14ac:dyDescent="0.25">
      <c r="A19" s="126" t="s">
        <v>229</v>
      </c>
      <c r="B19" s="126" t="s">
        <v>214</v>
      </c>
      <c r="C19" s="146" t="s">
        <v>745</v>
      </c>
      <c r="D19" s="47">
        <v>386</v>
      </c>
      <c r="E19" s="110" t="s">
        <v>221</v>
      </c>
      <c r="F19" s="148" t="s">
        <v>810</v>
      </c>
      <c r="G19" s="76" t="s">
        <v>31</v>
      </c>
      <c r="H19" s="76" t="s">
        <v>32</v>
      </c>
      <c r="I19" s="76" t="s">
        <v>33</v>
      </c>
      <c r="J19" s="147" t="s">
        <v>38</v>
      </c>
      <c r="K19" s="147" t="s">
        <v>39</v>
      </c>
      <c r="L19" s="117">
        <v>45349</v>
      </c>
      <c r="M19" s="117">
        <v>45350</v>
      </c>
      <c r="N19" s="130">
        <f>3223.89/2</f>
        <v>1611.9449999999999</v>
      </c>
      <c r="O19" s="130">
        <f>3223.89/2</f>
        <v>1611.9449999999999</v>
      </c>
      <c r="P19" s="130">
        <f t="shared" ref="P19" si="23">SUM(N19:O19)</f>
        <v>3223.89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9"/>
    </row>
    <row r="20" spans="1:24" ht="14.4" x14ac:dyDescent="0.25">
      <c r="A20" s="226" t="s">
        <v>229</v>
      </c>
      <c r="B20" s="235" t="s">
        <v>229</v>
      </c>
      <c r="C20" s="252" t="s">
        <v>698</v>
      </c>
      <c r="D20" s="239">
        <v>0</v>
      </c>
      <c r="E20" s="235" t="s">
        <v>561</v>
      </c>
      <c r="F20" s="242" t="s">
        <v>811</v>
      </c>
      <c r="G20" s="76" t="s">
        <v>31</v>
      </c>
      <c r="H20" s="76" t="s">
        <v>32</v>
      </c>
      <c r="I20" s="76" t="s">
        <v>33</v>
      </c>
      <c r="J20" s="128" t="s">
        <v>121</v>
      </c>
      <c r="K20" s="128" t="s">
        <v>62</v>
      </c>
      <c r="L20" s="129">
        <v>45347</v>
      </c>
      <c r="M20" s="129">
        <v>45349</v>
      </c>
      <c r="N20" s="222">
        <f>(1185.19+2838.3)/3</f>
        <v>1341.1633333333334</v>
      </c>
      <c r="O20" s="222">
        <f>(1185.19+2838.3)/3</f>
        <v>1341.1633333333334</v>
      </c>
      <c r="P20" s="222">
        <f>SUM(N20:O22)</f>
        <v>2682.3266666666668</v>
      </c>
      <c r="Q20" s="232">
        <v>0</v>
      </c>
      <c r="R20" s="222">
        <v>0</v>
      </c>
      <c r="S20" s="232">
        <v>0</v>
      </c>
      <c r="T20" s="222">
        <v>0</v>
      </c>
      <c r="U20" s="232">
        <v>0</v>
      </c>
      <c r="V20" s="213">
        <f t="shared" si="25"/>
        <v>2682.3266666666668</v>
      </c>
      <c r="W20" s="213">
        <f t="shared" si="26"/>
        <v>2682.3266666666668</v>
      </c>
      <c r="X20" s="220"/>
    </row>
    <row r="21" spans="1:24" ht="14.4" x14ac:dyDescent="0.25">
      <c r="A21" s="234"/>
      <c r="B21" s="236"/>
      <c r="C21" s="238"/>
      <c r="D21" s="240"/>
      <c r="E21" s="236"/>
      <c r="F21" s="243"/>
      <c r="G21" s="76" t="s">
        <v>31</v>
      </c>
      <c r="H21" s="128" t="s">
        <v>121</v>
      </c>
      <c r="I21" s="128" t="s">
        <v>62</v>
      </c>
      <c r="J21" s="147" t="s">
        <v>38</v>
      </c>
      <c r="K21" s="147" t="s">
        <v>39</v>
      </c>
      <c r="L21" s="129">
        <v>45349</v>
      </c>
      <c r="M21" s="129">
        <v>45350</v>
      </c>
      <c r="N21" s="231"/>
      <c r="O21" s="231"/>
      <c r="P21" s="231"/>
      <c r="Q21" s="232"/>
      <c r="R21" s="231"/>
      <c r="S21" s="232"/>
      <c r="T21" s="231"/>
      <c r="U21" s="232"/>
      <c r="V21" s="233"/>
      <c r="W21" s="233"/>
      <c r="X21" s="220"/>
    </row>
    <row r="22" spans="1:24" ht="14.4" x14ac:dyDescent="0.25">
      <c r="A22" s="227"/>
      <c r="B22" s="237"/>
      <c r="C22" s="238"/>
      <c r="D22" s="241"/>
      <c r="E22" s="237"/>
      <c r="F22" s="244"/>
      <c r="G22" s="76" t="s">
        <v>31</v>
      </c>
      <c r="H22" s="147" t="s">
        <v>38</v>
      </c>
      <c r="I22" s="147" t="s">
        <v>39</v>
      </c>
      <c r="J22" s="76" t="s">
        <v>32</v>
      </c>
      <c r="K22" s="76" t="s">
        <v>33</v>
      </c>
      <c r="L22" s="129">
        <v>45350</v>
      </c>
      <c r="M22" s="129">
        <v>45350</v>
      </c>
      <c r="N22" s="223"/>
      <c r="O22" s="223"/>
      <c r="P22" s="223"/>
      <c r="Q22" s="232"/>
      <c r="R22" s="223"/>
      <c r="S22" s="232"/>
      <c r="T22" s="223"/>
      <c r="U22" s="232"/>
      <c r="V22" s="214"/>
      <c r="W22" s="214"/>
      <c r="X22" s="220"/>
    </row>
  </sheetData>
  <mergeCells count="43">
    <mergeCell ref="W20:W22"/>
    <mergeCell ref="X20:X22"/>
    <mergeCell ref="O20:O22"/>
    <mergeCell ref="P20:P22"/>
    <mergeCell ref="Q20:Q22"/>
    <mergeCell ref="R20:R22"/>
    <mergeCell ref="T20:T22"/>
    <mergeCell ref="S20:S22"/>
    <mergeCell ref="Q3:R3"/>
    <mergeCell ref="S3:T3"/>
    <mergeCell ref="U3:U4"/>
    <mergeCell ref="V3:V4"/>
    <mergeCell ref="U20:U22"/>
    <mergeCell ref="V20:V22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8" sqref="D8:E8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26" t="s">
        <v>250</v>
      </c>
      <c r="B5" s="126" t="s">
        <v>250</v>
      </c>
      <c r="C5" s="149" t="s">
        <v>378</v>
      </c>
      <c r="D5" s="47">
        <v>0</v>
      </c>
      <c r="E5" s="110" t="s">
        <v>55</v>
      </c>
      <c r="F5" s="150" t="s">
        <v>813</v>
      </c>
      <c r="G5" s="76" t="s">
        <v>31</v>
      </c>
      <c r="H5" s="76" t="s">
        <v>32</v>
      </c>
      <c r="I5" s="76" t="s">
        <v>33</v>
      </c>
      <c r="J5" s="149" t="s">
        <v>335</v>
      </c>
      <c r="K5" s="149" t="s">
        <v>334</v>
      </c>
      <c r="L5" s="117">
        <v>45362</v>
      </c>
      <c r="M5" s="117">
        <v>45364</v>
      </c>
      <c r="N5" s="130">
        <f t="shared" ref="N5:O7" si="0">3822.16/2</f>
        <v>1911.08</v>
      </c>
      <c r="O5" s="130">
        <f t="shared" si="0"/>
        <v>1911.08</v>
      </c>
      <c r="P5" s="130">
        <f t="shared" ref="P5:P16" si="1">SUM(N5:O5)</f>
        <v>3822.16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9"/>
    </row>
    <row r="6" spans="1:24" s="119" customFormat="1" ht="14.4" x14ac:dyDescent="0.25">
      <c r="A6" s="126" t="s">
        <v>250</v>
      </c>
      <c r="B6" s="126" t="s">
        <v>258</v>
      </c>
      <c r="C6" s="149" t="s">
        <v>802</v>
      </c>
      <c r="D6" s="47">
        <v>404</v>
      </c>
      <c r="E6" s="110" t="s">
        <v>804</v>
      </c>
      <c r="F6" s="148" t="s">
        <v>813</v>
      </c>
      <c r="G6" s="76" t="s">
        <v>31</v>
      </c>
      <c r="H6" s="76" t="s">
        <v>32</v>
      </c>
      <c r="I6" s="76" t="s">
        <v>33</v>
      </c>
      <c r="J6" s="149" t="s">
        <v>335</v>
      </c>
      <c r="K6" s="147" t="s">
        <v>334</v>
      </c>
      <c r="L6" s="117">
        <v>45362</v>
      </c>
      <c r="M6" s="117">
        <v>45364</v>
      </c>
      <c r="N6" s="130">
        <f t="shared" si="0"/>
        <v>1911.08</v>
      </c>
      <c r="O6" s="130">
        <f t="shared" si="0"/>
        <v>1911.08</v>
      </c>
      <c r="P6" s="130">
        <f t="shared" si="1"/>
        <v>3822.16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9"/>
    </row>
    <row r="7" spans="1:24" s="119" customFormat="1" ht="14.4" x14ac:dyDescent="0.25">
      <c r="A7" s="126" t="s">
        <v>250</v>
      </c>
      <c r="B7" s="126" t="s">
        <v>250</v>
      </c>
      <c r="C7" s="149" t="s">
        <v>670</v>
      </c>
      <c r="D7" s="47">
        <v>383</v>
      </c>
      <c r="E7" s="110" t="s">
        <v>703</v>
      </c>
      <c r="F7" s="148" t="s">
        <v>813</v>
      </c>
      <c r="G7" s="76" t="s">
        <v>31</v>
      </c>
      <c r="H7" s="76" t="s">
        <v>32</v>
      </c>
      <c r="I7" s="76" t="s">
        <v>33</v>
      </c>
      <c r="J7" s="149" t="s">
        <v>335</v>
      </c>
      <c r="K7" s="147" t="s">
        <v>334</v>
      </c>
      <c r="L7" s="117">
        <v>45362</v>
      </c>
      <c r="M7" s="117">
        <v>45364</v>
      </c>
      <c r="N7" s="130">
        <f t="shared" si="0"/>
        <v>1911.08</v>
      </c>
      <c r="O7" s="130">
        <f t="shared" si="0"/>
        <v>1911.08</v>
      </c>
      <c r="P7" s="130">
        <f t="shared" si="1"/>
        <v>3822.16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9"/>
    </row>
    <row r="8" spans="1:24" s="119" customFormat="1" ht="14.4" x14ac:dyDescent="0.25">
      <c r="A8" s="126" t="s">
        <v>229</v>
      </c>
      <c r="B8" s="126" t="s">
        <v>215</v>
      </c>
      <c r="C8" s="146" t="s">
        <v>48</v>
      </c>
      <c r="D8" s="47">
        <v>56</v>
      </c>
      <c r="E8" s="149" t="s">
        <v>615</v>
      </c>
      <c r="F8" s="150" t="s">
        <v>814</v>
      </c>
      <c r="G8" s="76" t="s">
        <v>31</v>
      </c>
      <c r="H8" s="76" t="s">
        <v>32</v>
      </c>
      <c r="I8" s="76" t="s">
        <v>33</v>
      </c>
      <c r="J8" s="149" t="s">
        <v>61</v>
      </c>
      <c r="K8" s="149" t="s">
        <v>62</v>
      </c>
      <c r="L8" s="117">
        <v>45357</v>
      </c>
      <c r="M8" s="117">
        <v>45359</v>
      </c>
      <c r="N8" s="130">
        <f>1732.84/2</f>
        <v>866.42</v>
      </c>
      <c r="O8" s="130">
        <f>1732.84/2</f>
        <v>866.42</v>
      </c>
      <c r="P8" s="130">
        <f t="shared" si="1"/>
        <v>1732.84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9"/>
    </row>
    <row r="9" spans="1:24" s="119" customFormat="1" ht="14.4" x14ac:dyDescent="0.25">
      <c r="A9" s="126" t="s">
        <v>229</v>
      </c>
      <c r="B9" s="126" t="s">
        <v>229</v>
      </c>
      <c r="C9" s="146" t="s">
        <v>698</v>
      </c>
      <c r="D9" s="47">
        <v>0</v>
      </c>
      <c r="E9" s="110" t="s">
        <v>561</v>
      </c>
      <c r="F9" s="148" t="s">
        <v>814</v>
      </c>
      <c r="G9" s="76" t="s">
        <v>31</v>
      </c>
      <c r="H9" s="76" t="s">
        <v>32</v>
      </c>
      <c r="I9" s="76" t="s">
        <v>33</v>
      </c>
      <c r="J9" s="149" t="s">
        <v>61</v>
      </c>
      <c r="K9" s="149" t="s">
        <v>62</v>
      </c>
      <c r="L9" s="117">
        <v>45357</v>
      </c>
      <c r="M9" s="117">
        <v>45359</v>
      </c>
      <c r="N9" s="130">
        <f>1529.38/2</f>
        <v>764.69</v>
      </c>
      <c r="O9" s="130">
        <f>1529.38/2</f>
        <v>764.69</v>
      </c>
      <c r="P9" s="130">
        <f t="shared" si="1"/>
        <v>1529.38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9"/>
    </row>
    <row r="10" spans="1:24" s="119" customFormat="1" ht="14.4" x14ac:dyDescent="0.25">
      <c r="A10" s="126" t="s">
        <v>229</v>
      </c>
      <c r="B10" s="126" t="s">
        <v>362</v>
      </c>
      <c r="C10" s="146" t="s">
        <v>788</v>
      </c>
      <c r="D10" s="47">
        <v>393</v>
      </c>
      <c r="E10" s="144" t="s">
        <v>796</v>
      </c>
      <c r="F10" s="148" t="s">
        <v>815</v>
      </c>
      <c r="G10" s="76" t="s">
        <v>31</v>
      </c>
      <c r="H10" s="76" t="s">
        <v>32</v>
      </c>
      <c r="I10" s="76" t="s">
        <v>33</v>
      </c>
      <c r="J10" s="149" t="s">
        <v>335</v>
      </c>
      <c r="K10" s="149" t="s">
        <v>334</v>
      </c>
      <c r="L10" s="117">
        <v>45363</v>
      </c>
      <c r="M10" s="117">
        <v>45366</v>
      </c>
      <c r="N10" s="130">
        <f>2729.51/2</f>
        <v>1364.7550000000001</v>
      </c>
      <c r="O10" s="130">
        <f>2729.51/2</f>
        <v>1364.7550000000001</v>
      </c>
      <c r="P10" s="130">
        <f t="shared" si="1"/>
        <v>2729.51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9"/>
    </row>
    <row r="11" spans="1:24" s="119" customFormat="1" ht="14.4" x14ac:dyDescent="0.25">
      <c r="A11" s="126" t="s">
        <v>229</v>
      </c>
      <c r="B11" s="126" t="s">
        <v>759</v>
      </c>
      <c r="C11" s="146" t="s">
        <v>729</v>
      </c>
      <c r="D11" s="47">
        <v>390</v>
      </c>
      <c r="E11" s="110" t="s">
        <v>783</v>
      </c>
      <c r="F11" s="148" t="s">
        <v>815</v>
      </c>
      <c r="G11" s="76" t="s">
        <v>31</v>
      </c>
      <c r="H11" s="76" t="s">
        <v>32</v>
      </c>
      <c r="I11" s="76" t="s">
        <v>33</v>
      </c>
      <c r="J11" s="149" t="s">
        <v>335</v>
      </c>
      <c r="K11" s="149" t="s">
        <v>334</v>
      </c>
      <c r="L11" s="117">
        <v>45363</v>
      </c>
      <c r="M11" s="117">
        <v>45366</v>
      </c>
      <c r="N11" s="130">
        <f>2729.51/2</f>
        <v>1364.7550000000001</v>
      </c>
      <c r="O11" s="130">
        <f>2729.51/2</f>
        <v>1364.7550000000001</v>
      </c>
      <c r="P11" s="130">
        <f t="shared" si="1"/>
        <v>2729.51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9"/>
    </row>
    <row r="12" spans="1:24" s="119" customFormat="1" ht="14.4" x14ac:dyDescent="0.25">
      <c r="A12" s="126" t="s">
        <v>250</v>
      </c>
      <c r="B12" s="126" t="s">
        <v>322</v>
      </c>
      <c r="C12" s="146" t="s">
        <v>320</v>
      </c>
      <c r="D12" s="47">
        <v>204</v>
      </c>
      <c r="E12" s="149" t="s">
        <v>647</v>
      </c>
      <c r="F12" s="150" t="s">
        <v>816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45370</v>
      </c>
      <c r="M12" s="117">
        <v>45372</v>
      </c>
      <c r="N12" s="130">
        <f>2348.22/2</f>
        <v>1174.1099999999999</v>
      </c>
      <c r="O12" s="130">
        <f>2348.22/2</f>
        <v>1174.1099999999999</v>
      </c>
      <c r="P12" s="130">
        <f t="shared" si="1"/>
        <v>2348.2199999999998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9"/>
    </row>
    <row r="13" spans="1:24" s="119" customFormat="1" ht="14.4" x14ac:dyDescent="0.25">
      <c r="A13" s="126" t="s">
        <v>372</v>
      </c>
      <c r="B13" s="126" t="s">
        <v>272</v>
      </c>
      <c r="C13" s="146" t="s">
        <v>282</v>
      </c>
      <c r="D13" s="47">
        <v>236</v>
      </c>
      <c r="E13" s="149" t="s">
        <v>210</v>
      </c>
      <c r="F13" s="148" t="s">
        <v>817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45371</v>
      </c>
      <c r="M13" s="117">
        <v>45372</v>
      </c>
      <c r="N13" s="130">
        <f>1490.09/2</f>
        <v>745.04499999999996</v>
      </c>
      <c r="O13" s="130">
        <f>1490.09/2</f>
        <v>745.04499999999996</v>
      </c>
      <c r="P13" s="130">
        <f t="shared" si="1"/>
        <v>1490.09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9"/>
    </row>
    <row r="14" spans="1:24" s="119" customFormat="1" ht="14.4" x14ac:dyDescent="0.25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48" t="s">
        <v>818</v>
      </c>
      <c r="G14" s="76" t="s">
        <v>31</v>
      </c>
      <c r="H14" s="76" t="s">
        <v>32</v>
      </c>
      <c r="I14" s="76" t="s">
        <v>33</v>
      </c>
      <c r="J14" s="149" t="s">
        <v>61</v>
      </c>
      <c r="K14" s="149" t="s">
        <v>62</v>
      </c>
      <c r="L14" s="117">
        <v>45363</v>
      </c>
      <c r="M14" s="117">
        <v>45363</v>
      </c>
      <c r="N14" s="130">
        <f>2248.01/2</f>
        <v>1124.0050000000001</v>
      </c>
      <c r="O14" s="130">
        <f>2248.01/2</f>
        <v>1124.0050000000001</v>
      </c>
      <c r="P14" s="130">
        <f t="shared" si="1"/>
        <v>2248.0100000000002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9"/>
    </row>
    <row r="15" spans="1:24" s="119" customFormat="1" ht="14.4" x14ac:dyDescent="0.25">
      <c r="A15" s="126" t="s">
        <v>229</v>
      </c>
      <c r="B15" s="126" t="s">
        <v>229</v>
      </c>
      <c r="C15" s="146" t="s">
        <v>698</v>
      </c>
      <c r="D15" s="47">
        <v>0</v>
      </c>
      <c r="E15" s="110" t="s">
        <v>561</v>
      </c>
      <c r="F15" s="148" t="s">
        <v>818</v>
      </c>
      <c r="G15" s="76" t="s">
        <v>31</v>
      </c>
      <c r="H15" s="76" t="s">
        <v>32</v>
      </c>
      <c r="I15" s="76" t="s">
        <v>33</v>
      </c>
      <c r="J15" s="149" t="s">
        <v>335</v>
      </c>
      <c r="K15" s="147" t="s">
        <v>334</v>
      </c>
      <c r="L15" s="117">
        <v>45366</v>
      </c>
      <c r="M15" s="117">
        <v>45366</v>
      </c>
      <c r="N15" s="130">
        <f>1101.52/2</f>
        <v>550.76</v>
      </c>
      <c r="O15" s="130">
        <f>1101.52/2</f>
        <v>550.76</v>
      </c>
      <c r="P15" s="130">
        <f t="shared" si="1"/>
        <v>1101.52</v>
      </c>
      <c r="Q15" s="79">
        <v>0</v>
      </c>
      <c r="R15" s="118">
        <v>120</v>
      </c>
      <c r="S15" s="79">
        <v>0</v>
      </c>
      <c r="T15" s="118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9"/>
    </row>
    <row r="16" spans="1:24" s="119" customFormat="1" ht="14.4" x14ac:dyDescent="0.25">
      <c r="A16" s="126" t="s">
        <v>372</v>
      </c>
      <c r="B16" s="126" t="s">
        <v>372</v>
      </c>
      <c r="C16" s="146" t="s">
        <v>819</v>
      </c>
      <c r="D16" s="47">
        <v>0</v>
      </c>
      <c r="E16" s="149" t="s">
        <v>88</v>
      </c>
      <c r="F16" s="150" t="s">
        <v>821</v>
      </c>
      <c r="G16" s="76" t="s">
        <v>31</v>
      </c>
      <c r="H16" s="149" t="s">
        <v>111</v>
      </c>
      <c r="I16" s="149" t="s">
        <v>820</v>
      </c>
      <c r="J16" s="149" t="s">
        <v>61</v>
      </c>
      <c r="K16" s="149" t="s">
        <v>62</v>
      </c>
      <c r="L16" s="117">
        <v>45376</v>
      </c>
      <c r="M16" s="117">
        <v>46473</v>
      </c>
      <c r="N16" s="130">
        <f>2608.14/2</f>
        <v>1304.07</v>
      </c>
      <c r="O16" s="130">
        <f>2608.14/2</f>
        <v>1304.07</v>
      </c>
      <c r="P16" s="130">
        <f t="shared" si="1"/>
        <v>2608.14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14" sqref="D14:E14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26" t="s">
        <v>372</v>
      </c>
      <c r="B5" s="126" t="s">
        <v>238</v>
      </c>
      <c r="C5" s="151" t="s">
        <v>135</v>
      </c>
      <c r="D5" s="47">
        <v>230</v>
      </c>
      <c r="E5" s="151" t="s">
        <v>152</v>
      </c>
      <c r="F5" s="150" t="s">
        <v>822</v>
      </c>
      <c r="G5" s="76" t="s">
        <v>31</v>
      </c>
      <c r="H5" s="76" t="s">
        <v>32</v>
      </c>
      <c r="I5" s="76" t="s">
        <v>33</v>
      </c>
      <c r="J5" s="151" t="s">
        <v>462</v>
      </c>
      <c r="K5" s="151" t="s">
        <v>424</v>
      </c>
      <c r="L5" s="117">
        <v>45406</v>
      </c>
      <c r="M5" s="117">
        <v>45437</v>
      </c>
      <c r="N5" s="130">
        <f>1406.27/2</f>
        <v>703.13499999999999</v>
      </c>
      <c r="O5" s="130">
        <f>1406.27/2</f>
        <v>703.13499999999999</v>
      </c>
      <c r="P5" s="130">
        <f t="shared" ref="P5:P15" si="0">SUM(N5:O5)</f>
        <v>1406.27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9"/>
    </row>
    <row r="6" spans="1:24" s="119" customFormat="1" ht="14.4" x14ac:dyDescent="0.25">
      <c r="A6" s="126" t="s">
        <v>250</v>
      </c>
      <c r="B6" s="126" t="s">
        <v>322</v>
      </c>
      <c r="C6" s="151" t="s">
        <v>754</v>
      </c>
      <c r="D6" s="47">
        <v>397</v>
      </c>
      <c r="E6" s="151" t="s">
        <v>829</v>
      </c>
      <c r="F6" s="152" t="s">
        <v>823</v>
      </c>
      <c r="G6" s="76" t="s">
        <v>31</v>
      </c>
      <c r="H6" s="76" t="s">
        <v>32</v>
      </c>
      <c r="I6" s="76" t="s">
        <v>33</v>
      </c>
      <c r="J6" s="151" t="s">
        <v>106</v>
      </c>
      <c r="K6" s="151" t="s">
        <v>107</v>
      </c>
      <c r="L6" s="117">
        <v>45392</v>
      </c>
      <c r="M6" s="117">
        <v>45393</v>
      </c>
      <c r="N6" s="130">
        <f t="shared" ref="N6:O9" si="4">2399.95/2</f>
        <v>1199.9749999999999</v>
      </c>
      <c r="O6" s="130">
        <f t="shared" si="4"/>
        <v>1199.9749999999999</v>
      </c>
      <c r="P6" s="130">
        <f t="shared" si="0"/>
        <v>2399.9499999999998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9"/>
    </row>
    <row r="7" spans="1:24" s="119" customFormat="1" ht="14.4" x14ac:dyDescent="0.25">
      <c r="A7" s="126" t="s">
        <v>250</v>
      </c>
      <c r="B7" s="126" t="s">
        <v>322</v>
      </c>
      <c r="C7" s="149" t="s">
        <v>755</v>
      </c>
      <c r="D7" s="47">
        <v>324</v>
      </c>
      <c r="E7" s="151" t="s">
        <v>498</v>
      </c>
      <c r="F7" s="152" t="s">
        <v>823</v>
      </c>
      <c r="G7" s="76" t="s">
        <v>31</v>
      </c>
      <c r="H7" s="76" t="s">
        <v>32</v>
      </c>
      <c r="I7" s="76" t="s">
        <v>33</v>
      </c>
      <c r="J7" s="151" t="s">
        <v>106</v>
      </c>
      <c r="K7" s="151" t="s">
        <v>107</v>
      </c>
      <c r="L7" s="117">
        <v>45392</v>
      </c>
      <c r="M7" s="117">
        <v>45393</v>
      </c>
      <c r="N7" s="130">
        <f t="shared" si="4"/>
        <v>1199.9749999999999</v>
      </c>
      <c r="O7" s="130">
        <f t="shared" si="4"/>
        <v>1199.9749999999999</v>
      </c>
      <c r="P7" s="130">
        <f t="shared" si="0"/>
        <v>2399.9499999999998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9"/>
    </row>
    <row r="8" spans="1:24" s="119" customFormat="1" ht="14.4" x14ac:dyDescent="0.25">
      <c r="A8" s="126" t="s">
        <v>250</v>
      </c>
      <c r="B8" s="126" t="s">
        <v>322</v>
      </c>
      <c r="C8" s="146" t="s">
        <v>323</v>
      </c>
      <c r="D8" s="47">
        <v>87</v>
      </c>
      <c r="E8" s="110" t="s">
        <v>329</v>
      </c>
      <c r="F8" s="152" t="s">
        <v>823</v>
      </c>
      <c r="G8" s="76" t="s">
        <v>31</v>
      </c>
      <c r="H8" s="76" t="s">
        <v>32</v>
      </c>
      <c r="I8" s="76" t="s">
        <v>33</v>
      </c>
      <c r="J8" s="151" t="s">
        <v>106</v>
      </c>
      <c r="K8" s="151" t="s">
        <v>107</v>
      </c>
      <c r="L8" s="117">
        <v>45392</v>
      </c>
      <c r="M8" s="117">
        <v>45393</v>
      </c>
      <c r="N8" s="130">
        <f t="shared" si="4"/>
        <v>1199.9749999999999</v>
      </c>
      <c r="O8" s="130">
        <f t="shared" si="4"/>
        <v>1199.9749999999999</v>
      </c>
      <c r="P8" s="130">
        <f t="shared" si="0"/>
        <v>2399.9499999999998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9"/>
    </row>
    <row r="9" spans="1:24" s="119" customFormat="1" ht="14.4" x14ac:dyDescent="0.25">
      <c r="A9" s="126" t="s">
        <v>372</v>
      </c>
      <c r="B9" s="126" t="s">
        <v>238</v>
      </c>
      <c r="C9" s="146" t="s">
        <v>447</v>
      </c>
      <c r="D9" s="47">
        <v>336</v>
      </c>
      <c r="E9" s="138" t="s">
        <v>309</v>
      </c>
      <c r="F9" s="152" t="s">
        <v>823</v>
      </c>
      <c r="G9" s="76" t="s">
        <v>31</v>
      </c>
      <c r="H9" s="76" t="s">
        <v>32</v>
      </c>
      <c r="I9" s="76" t="s">
        <v>33</v>
      </c>
      <c r="J9" s="151" t="s">
        <v>106</v>
      </c>
      <c r="K9" s="151" t="s">
        <v>107</v>
      </c>
      <c r="L9" s="117">
        <v>45392</v>
      </c>
      <c r="M9" s="117">
        <v>45393</v>
      </c>
      <c r="N9" s="130">
        <f t="shared" si="4"/>
        <v>1199.9749999999999</v>
      </c>
      <c r="O9" s="130">
        <f t="shared" si="4"/>
        <v>1199.9749999999999</v>
      </c>
      <c r="P9" s="130">
        <f t="shared" si="0"/>
        <v>2399.9499999999998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9"/>
    </row>
    <row r="10" spans="1:24" s="119" customFormat="1" ht="28.8" x14ac:dyDescent="0.25">
      <c r="A10" s="126" t="s">
        <v>229</v>
      </c>
      <c r="B10" s="126" t="s">
        <v>759</v>
      </c>
      <c r="C10" s="146" t="s">
        <v>729</v>
      </c>
      <c r="D10" s="47">
        <v>390</v>
      </c>
      <c r="E10" s="110" t="s">
        <v>783</v>
      </c>
      <c r="F10" s="148" t="s">
        <v>824</v>
      </c>
      <c r="G10" s="76" t="s">
        <v>31</v>
      </c>
      <c r="H10" s="76" t="s">
        <v>32</v>
      </c>
      <c r="I10" s="76" t="s">
        <v>33</v>
      </c>
      <c r="J10" s="151" t="s">
        <v>61</v>
      </c>
      <c r="K10" s="151" t="s">
        <v>62</v>
      </c>
      <c r="L10" s="117">
        <v>45385</v>
      </c>
      <c r="M10" s="117">
        <v>45386</v>
      </c>
      <c r="N10" s="130">
        <f>2482.92/2</f>
        <v>1241.46</v>
      </c>
      <c r="O10" s="130">
        <f>2482.92/2</f>
        <v>1241.46</v>
      </c>
      <c r="P10" s="130">
        <f t="shared" si="0"/>
        <v>2482.92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9"/>
    </row>
    <row r="11" spans="1:24" s="119" customFormat="1" ht="14.4" x14ac:dyDescent="0.25">
      <c r="A11" s="126" t="s">
        <v>229</v>
      </c>
      <c r="B11" s="126" t="s">
        <v>227</v>
      </c>
      <c r="C11" s="146" t="s">
        <v>728</v>
      </c>
      <c r="D11" s="47">
        <v>387</v>
      </c>
      <c r="E11" s="138" t="s">
        <v>262</v>
      </c>
      <c r="F11" s="148" t="s">
        <v>825</v>
      </c>
      <c r="G11" s="76" t="s">
        <v>31</v>
      </c>
      <c r="H11" s="76" t="s">
        <v>32</v>
      </c>
      <c r="I11" s="76" t="s">
        <v>33</v>
      </c>
      <c r="J11" s="151" t="s">
        <v>106</v>
      </c>
      <c r="K11" s="151" t="s">
        <v>107</v>
      </c>
      <c r="L11" s="117">
        <v>45404</v>
      </c>
      <c r="M11" s="117">
        <v>45406</v>
      </c>
      <c r="N11" s="130">
        <f>2248.02/2</f>
        <v>1124.01</v>
      </c>
      <c r="O11" s="130">
        <f>2248.02/2</f>
        <v>1124.01</v>
      </c>
      <c r="P11" s="130">
        <f t="shared" si="0"/>
        <v>2248.02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9"/>
    </row>
    <row r="12" spans="1:24" s="119" customFormat="1" ht="43.2" x14ac:dyDescent="0.25">
      <c r="A12" s="126" t="s">
        <v>229</v>
      </c>
      <c r="B12" s="126" t="s">
        <v>229</v>
      </c>
      <c r="C12" s="146" t="s">
        <v>698</v>
      </c>
      <c r="D12" s="47">
        <v>0</v>
      </c>
      <c r="E12" s="110" t="s">
        <v>561</v>
      </c>
      <c r="F12" s="152" t="s">
        <v>826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45404</v>
      </c>
      <c r="M12" s="117">
        <v>45406</v>
      </c>
      <c r="N12" s="130">
        <f>2755.24/2</f>
        <v>1377.62</v>
      </c>
      <c r="O12" s="130">
        <f>2755.24/2</f>
        <v>1377.62</v>
      </c>
      <c r="P12" s="130">
        <f t="shared" si="0"/>
        <v>2755.24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9"/>
    </row>
    <row r="13" spans="1:24" s="119" customFormat="1" ht="43.2" x14ac:dyDescent="0.25">
      <c r="A13" s="126" t="s">
        <v>229</v>
      </c>
      <c r="B13" s="126" t="s">
        <v>229</v>
      </c>
      <c r="C13" s="146" t="s">
        <v>698</v>
      </c>
      <c r="D13" s="47">
        <v>0</v>
      </c>
      <c r="E13" s="110" t="s">
        <v>561</v>
      </c>
      <c r="F13" s="152" t="s">
        <v>826</v>
      </c>
      <c r="G13" s="76" t="s">
        <v>31</v>
      </c>
      <c r="H13" s="151" t="s">
        <v>61</v>
      </c>
      <c r="I13" s="151" t="s">
        <v>62</v>
      </c>
      <c r="J13" s="151" t="s">
        <v>38</v>
      </c>
      <c r="K13" s="151" t="s">
        <v>39</v>
      </c>
      <c r="L13" s="117">
        <v>45407</v>
      </c>
      <c r="M13" s="117">
        <v>45408</v>
      </c>
      <c r="N13" s="130">
        <f>2769.02/2</f>
        <v>1384.51</v>
      </c>
      <c r="O13" s="130">
        <f>2769.02/2</f>
        <v>1384.51</v>
      </c>
      <c r="P13" s="130">
        <f t="shared" si="0"/>
        <v>2769.02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9"/>
    </row>
    <row r="14" spans="1:24" s="119" customFormat="1" ht="14.4" x14ac:dyDescent="0.25">
      <c r="A14" s="126" t="s">
        <v>229</v>
      </c>
      <c r="B14" s="126" t="s">
        <v>214</v>
      </c>
      <c r="C14" s="146" t="s">
        <v>745</v>
      </c>
      <c r="D14" s="47">
        <v>386</v>
      </c>
      <c r="E14" s="110" t="s">
        <v>221</v>
      </c>
      <c r="F14" s="148" t="s">
        <v>827</v>
      </c>
      <c r="G14" s="76" t="s">
        <v>31</v>
      </c>
      <c r="H14" s="76" t="s">
        <v>32</v>
      </c>
      <c r="I14" s="76" t="s">
        <v>33</v>
      </c>
      <c r="J14" s="151" t="s">
        <v>38</v>
      </c>
      <c r="K14" s="151" t="s">
        <v>39</v>
      </c>
      <c r="L14" s="117">
        <v>45405</v>
      </c>
      <c r="M14" s="117">
        <v>45406</v>
      </c>
      <c r="N14" s="130">
        <f>2562.28/2</f>
        <v>1281.1400000000001</v>
      </c>
      <c r="O14" s="130">
        <f>2562.28/2</f>
        <v>1281.1400000000001</v>
      </c>
      <c r="P14" s="130">
        <f t="shared" si="0"/>
        <v>2562.2800000000002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9"/>
    </row>
    <row r="15" spans="1:24" s="119" customFormat="1" ht="14.4" x14ac:dyDescent="0.25">
      <c r="A15" s="126" t="s">
        <v>229</v>
      </c>
      <c r="B15" s="126" t="s">
        <v>227</v>
      </c>
      <c r="C15" s="146" t="s">
        <v>728</v>
      </c>
      <c r="D15" s="47">
        <v>387</v>
      </c>
      <c r="E15" s="138" t="s">
        <v>262</v>
      </c>
      <c r="F15" s="148" t="s">
        <v>828</v>
      </c>
      <c r="G15" s="76" t="s">
        <v>31</v>
      </c>
      <c r="H15" s="76" t="s">
        <v>32</v>
      </c>
      <c r="I15" s="76" t="s">
        <v>33</v>
      </c>
      <c r="J15" s="151" t="s">
        <v>61</v>
      </c>
      <c r="K15" s="151" t="s">
        <v>62</v>
      </c>
      <c r="L15" s="117">
        <v>45404</v>
      </c>
      <c r="M15" s="117">
        <v>45406</v>
      </c>
      <c r="N15" s="130">
        <f>2825.39/2</f>
        <v>1412.6949999999999</v>
      </c>
      <c r="O15" s="130">
        <f>2825.39/2</f>
        <v>1412.6949999999999</v>
      </c>
      <c r="P15" s="130">
        <f t="shared" si="0"/>
        <v>2825.39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D18" sqref="D18:E18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253" t="s">
        <v>250</v>
      </c>
      <c r="B5" s="126" t="s">
        <v>258</v>
      </c>
      <c r="C5" s="153" t="s">
        <v>185</v>
      </c>
      <c r="D5" s="47">
        <v>71</v>
      </c>
      <c r="E5" s="153" t="s">
        <v>842</v>
      </c>
      <c r="F5" s="150" t="s">
        <v>624</v>
      </c>
      <c r="G5" s="76" t="s">
        <v>31</v>
      </c>
      <c r="H5" s="76" t="s">
        <v>32</v>
      </c>
      <c r="I5" s="76" t="s">
        <v>33</v>
      </c>
      <c r="J5" s="153" t="s">
        <v>32</v>
      </c>
      <c r="K5" s="153" t="s">
        <v>390</v>
      </c>
      <c r="L5" s="117">
        <v>45418</v>
      </c>
      <c r="M5" s="117">
        <v>45420</v>
      </c>
      <c r="N5" s="130">
        <f t="shared" ref="N5:O7" si="0">1715.09/2</f>
        <v>857.54499999999996</v>
      </c>
      <c r="O5" s="130">
        <f t="shared" si="0"/>
        <v>857.54499999999996</v>
      </c>
      <c r="P5" s="130">
        <f t="shared" ref="P5:P22" si="1">SUM(N5:O5)</f>
        <v>1715.09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9"/>
    </row>
    <row r="6" spans="1:24" s="119" customFormat="1" ht="14.4" x14ac:dyDescent="0.25">
      <c r="A6" s="126" t="s">
        <v>250</v>
      </c>
      <c r="B6" s="126" t="s">
        <v>258</v>
      </c>
      <c r="C6" s="153" t="s">
        <v>830</v>
      </c>
      <c r="D6" s="47">
        <v>410</v>
      </c>
      <c r="E6" s="153" t="s">
        <v>797</v>
      </c>
      <c r="F6" s="152" t="s">
        <v>624</v>
      </c>
      <c r="G6" s="76" t="s">
        <v>31</v>
      </c>
      <c r="H6" s="76" t="s">
        <v>32</v>
      </c>
      <c r="I6" s="76" t="s">
        <v>33</v>
      </c>
      <c r="J6" s="153" t="s">
        <v>32</v>
      </c>
      <c r="K6" s="153" t="s">
        <v>390</v>
      </c>
      <c r="L6" s="117">
        <v>45418</v>
      </c>
      <c r="M6" s="117">
        <v>45420</v>
      </c>
      <c r="N6" s="130">
        <f t="shared" si="0"/>
        <v>857.54499999999996</v>
      </c>
      <c r="O6" s="130">
        <f t="shared" si="0"/>
        <v>857.54499999999996</v>
      </c>
      <c r="P6" s="130">
        <f t="shared" si="1"/>
        <v>1715.09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9"/>
    </row>
    <row r="7" spans="1:24" s="119" customFormat="1" ht="14.4" x14ac:dyDescent="0.25">
      <c r="A7" s="126" t="s">
        <v>250</v>
      </c>
      <c r="B7" s="126" t="s">
        <v>258</v>
      </c>
      <c r="C7" s="149" t="s">
        <v>802</v>
      </c>
      <c r="D7" s="47">
        <v>404</v>
      </c>
      <c r="E7" s="110" t="s">
        <v>804</v>
      </c>
      <c r="F7" s="152" t="s">
        <v>624</v>
      </c>
      <c r="G7" s="76" t="s">
        <v>31</v>
      </c>
      <c r="H7" s="76" t="s">
        <v>32</v>
      </c>
      <c r="I7" s="76" t="s">
        <v>33</v>
      </c>
      <c r="J7" s="153" t="s">
        <v>32</v>
      </c>
      <c r="K7" s="153" t="s">
        <v>390</v>
      </c>
      <c r="L7" s="117">
        <v>45418</v>
      </c>
      <c r="M7" s="117">
        <v>45420</v>
      </c>
      <c r="N7" s="130">
        <f t="shared" si="0"/>
        <v>857.54499999999996</v>
      </c>
      <c r="O7" s="130">
        <f t="shared" si="0"/>
        <v>857.54499999999996</v>
      </c>
      <c r="P7" s="130">
        <f t="shared" si="1"/>
        <v>1715.09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9"/>
    </row>
    <row r="8" spans="1:24" s="119" customFormat="1" ht="14.4" x14ac:dyDescent="0.25">
      <c r="A8" s="126" t="s">
        <v>372</v>
      </c>
      <c r="B8" s="126" t="s">
        <v>398</v>
      </c>
      <c r="C8" s="153" t="s">
        <v>266</v>
      </c>
      <c r="D8" s="47">
        <v>296</v>
      </c>
      <c r="E8" s="153" t="s">
        <v>158</v>
      </c>
      <c r="F8" s="152" t="s">
        <v>832</v>
      </c>
      <c r="G8" s="76" t="s">
        <v>31</v>
      </c>
      <c r="H8" s="76" t="s">
        <v>32</v>
      </c>
      <c r="I8" s="76" t="s">
        <v>33</v>
      </c>
      <c r="J8" s="153" t="s">
        <v>32</v>
      </c>
      <c r="K8" s="153" t="s">
        <v>390</v>
      </c>
      <c r="L8" s="117">
        <v>45425</v>
      </c>
      <c r="M8" s="117">
        <v>45427</v>
      </c>
      <c r="N8" s="130">
        <f>1566.08/2</f>
        <v>783.04</v>
      </c>
      <c r="O8" s="130">
        <f>1566.08/2</f>
        <v>783.04</v>
      </c>
      <c r="P8" s="130">
        <f t="shared" si="1"/>
        <v>1566.08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9"/>
    </row>
    <row r="9" spans="1:24" s="119" customFormat="1" ht="14.4" x14ac:dyDescent="0.25">
      <c r="A9" s="126" t="s">
        <v>372</v>
      </c>
      <c r="B9" s="126" t="s">
        <v>372</v>
      </c>
      <c r="C9" s="146" t="s">
        <v>819</v>
      </c>
      <c r="D9" s="47">
        <v>0</v>
      </c>
      <c r="E9" s="149" t="s">
        <v>88</v>
      </c>
      <c r="F9" s="152" t="s">
        <v>832</v>
      </c>
      <c r="G9" s="76" t="s">
        <v>31</v>
      </c>
      <c r="H9" s="76" t="s">
        <v>32</v>
      </c>
      <c r="I9" s="76" t="s">
        <v>33</v>
      </c>
      <c r="J9" s="153" t="s">
        <v>32</v>
      </c>
      <c r="K9" s="153" t="s">
        <v>390</v>
      </c>
      <c r="L9" s="117">
        <v>45425</v>
      </c>
      <c r="M9" s="117">
        <v>45427</v>
      </c>
      <c r="N9" s="130">
        <f>1758.46/2</f>
        <v>879.23</v>
      </c>
      <c r="O9" s="130">
        <f>1758.46/2</f>
        <v>879.23</v>
      </c>
      <c r="P9" s="130">
        <f t="shared" si="1"/>
        <v>1758.46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9"/>
    </row>
    <row r="10" spans="1:24" s="119" customFormat="1" ht="14.4" x14ac:dyDescent="0.25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48" t="s">
        <v>832</v>
      </c>
      <c r="G10" s="76" t="s">
        <v>31</v>
      </c>
      <c r="H10" s="76" t="s">
        <v>32</v>
      </c>
      <c r="I10" s="76" t="s">
        <v>33</v>
      </c>
      <c r="J10" s="153" t="s">
        <v>32</v>
      </c>
      <c r="K10" s="153" t="s">
        <v>390</v>
      </c>
      <c r="L10" s="117">
        <v>45425</v>
      </c>
      <c r="M10" s="117">
        <v>45427</v>
      </c>
      <c r="N10" s="130">
        <f>1617.04/2</f>
        <v>808.52</v>
      </c>
      <c r="O10" s="130">
        <f>1617.04/2</f>
        <v>808.52</v>
      </c>
      <c r="P10" s="130">
        <f t="shared" si="1"/>
        <v>1617.04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9"/>
    </row>
    <row r="11" spans="1:24" s="119" customFormat="1" ht="14.4" x14ac:dyDescent="0.25">
      <c r="A11" s="126" t="s">
        <v>229</v>
      </c>
      <c r="B11" s="126" t="s">
        <v>227</v>
      </c>
      <c r="C11" s="153" t="s">
        <v>728</v>
      </c>
      <c r="D11" s="47">
        <v>387</v>
      </c>
      <c r="E11" s="153" t="s">
        <v>843</v>
      </c>
      <c r="F11" s="152" t="s">
        <v>832</v>
      </c>
      <c r="G11" s="76" t="s">
        <v>31</v>
      </c>
      <c r="H11" s="76" t="s">
        <v>32</v>
      </c>
      <c r="I11" s="76" t="s">
        <v>33</v>
      </c>
      <c r="J11" s="153" t="s">
        <v>32</v>
      </c>
      <c r="K11" s="153" t="s">
        <v>390</v>
      </c>
      <c r="L11" s="117">
        <v>45425</v>
      </c>
      <c r="M11" s="117">
        <v>45427</v>
      </c>
      <c r="N11" s="130">
        <f>2005.09/2</f>
        <v>1002.545</v>
      </c>
      <c r="O11" s="130">
        <f>2005.09/2</f>
        <v>1002.545</v>
      </c>
      <c r="P11" s="130">
        <f t="shared" si="1"/>
        <v>2005.09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9"/>
    </row>
    <row r="12" spans="1:24" s="119" customFormat="1" ht="14.4" x14ac:dyDescent="0.25">
      <c r="A12" s="126" t="s">
        <v>229</v>
      </c>
      <c r="B12" s="126" t="s">
        <v>301</v>
      </c>
      <c r="C12" s="153" t="s">
        <v>831</v>
      </c>
      <c r="D12" s="47">
        <v>405</v>
      </c>
      <c r="E12" s="153" t="s">
        <v>313</v>
      </c>
      <c r="F12" s="152" t="s">
        <v>832</v>
      </c>
      <c r="G12" s="76" t="s">
        <v>31</v>
      </c>
      <c r="H12" s="151" t="s">
        <v>61</v>
      </c>
      <c r="I12" s="76" t="s">
        <v>33</v>
      </c>
      <c r="J12" s="153" t="s">
        <v>32</v>
      </c>
      <c r="K12" s="153" t="s">
        <v>390</v>
      </c>
      <c r="L12" s="117">
        <v>45425</v>
      </c>
      <c r="M12" s="117">
        <v>45427</v>
      </c>
      <c r="N12" s="130">
        <f>1617.03/2</f>
        <v>808.51499999999999</v>
      </c>
      <c r="O12" s="130">
        <f>1617.03/2</f>
        <v>808.51499999999999</v>
      </c>
      <c r="P12" s="130">
        <f t="shared" si="1"/>
        <v>1617.03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9"/>
    </row>
    <row r="13" spans="1:24" s="119" customFormat="1" ht="14.4" x14ac:dyDescent="0.25">
      <c r="A13" s="253" t="s">
        <v>372</v>
      </c>
      <c r="B13" s="126" t="s">
        <v>238</v>
      </c>
      <c r="C13" s="146" t="s">
        <v>135</v>
      </c>
      <c r="D13" s="47">
        <v>230</v>
      </c>
      <c r="E13" s="151" t="s">
        <v>152</v>
      </c>
      <c r="F13" s="152" t="s">
        <v>832</v>
      </c>
      <c r="G13" s="76" t="s">
        <v>31</v>
      </c>
      <c r="H13" s="76" t="s">
        <v>32</v>
      </c>
      <c r="I13" s="76" t="s">
        <v>33</v>
      </c>
      <c r="J13" s="153" t="s">
        <v>32</v>
      </c>
      <c r="K13" s="153" t="s">
        <v>390</v>
      </c>
      <c r="L13" s="117">
        <v>45425</v>
      </c>
      <c r="M13" s="117">
        <v>45427</v>
      </c>
      <c r="N13" s="130">
        <f>1489.63/2</f>
        <v>744.81500000000005</v>
      </c>
      <c r="O13" s="130">
        <f>1489.63/2</f>
        <v>744.81500000000005</v>
      </c>
      <c r="P13" s="130">
        <f t="shared" si="1"/>
        <v>1489.63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9"/>
    </row>
    <row r="14" spans="1:24" s="119" customFormat="1" ht="14.4" x14ac:dyDescent="0.25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52" t="s">
        <v>833</v>
      </c>
      <c r="G14" s="76" t="s">
        <v>31</v>
      </c>
      <c r="H14" s="76" t="s">
        <v>32</v>
      </c>
      <c r="I14" s="76" t="s">
        <v>33</v>
      </c>
      <c r="J14" s="153" t="s">
        <v>61</v>
      </c>
      <c r="K14" s="153" t="s">
        <v>62</v>
      </c>
      <c r="L14" s="117">
        <v>45414</v>
      </c>
      <c r="M14" s="117">
        <v>45415</v>
      </c>
      <c r="N14" s="130">
        <f>1702.23/2</f>
        <v>851.11500000000001</v>
      </c>
      <c r="O14" s="130">
        <f>1702.23/2</f>
        <v>851.11500000000001</v>
      </c>
      <c r="P14" s="130">
        <f t="shared" si="1"/>
        <v>1702.23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9"/>
    </row>
    <row r="15" spans="1:24" s="119" customFormat="1" ht="14.4" x14ac:dyDescent="0.25">
      <c r="A15" s="126" t="s">
        <v>229</v>
      </c>
      <c r="B15" s="126" t="s">
        <v>362</v>
      </c>
      <c r="C15" s="146" t="s">
        <v>788</v>
      </c>
      <c r="D15" s="47">
        <v>393</v>
      </c>
      <c r="E15" s="144" t="s">
        <v>796</v>
      </c>
      <c r="F15" s="152" t="s">
        <v>833</v>
      </c>
      <c r="G15" s="76" t="s">
        <v>31</v>
      </c>
      <c r="H15" s="76" t="s">
        <v>32</v>
      </c>
      <c r="I15" s="76" t="s">
        <v>33</v>
      </c>
      <c r="J15" s="153" t="s">
        <v>61</v>
      </c>
      <c r="K15" s="153" t="s">
        <v>62</v>
      </c>
      <c r="L15" s="117">
        <v>45414</v>
      </c>
      <c r="M15" s="117">
        <v>45415</v>
      </c>
      <c r="N15" s="130">
        <f>1608.23/2</f>
        <v>804.11500000000001</v>
      </c>
      <c r="O15" s="130">
        <f>1608.23/2</f>
        <v>804.11500000000001</v>
      </c>
      <c r="P15" s="130">
        <f t="shared" si="1"/>
        <v>1608.23</v>
      </c>
      <c r="Q15" s="79">
        <v>2</v>
      </c>
      <c r="R15" s="118">
        <v>120</v>
      </c>
      <c r="S15" s="79">
        <v>0</v>
      </c>
      <c r="T15" s="118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9"/>
    </row>
    <row r="16" spans="1:24" s="119" customFormat="1" ht="14.4" x14ac:dyDescent="0.25">
      <c r="A16" s="126" t="s">
        <v>250</v>
      </c>
      <c r="B16" s="126" t="s">
        <v>250</v>
      </c>
      <c r="C16" s="146" t="s">
        <v>378</v>
      </c>
      <c r="D16" s="47">
        <v>0</v>
      </c>
      <c r="E16" s="110" t="s">
        <v>55</v>
      </c>
      <c r="F16" s="152" t="s">
        <v>834</v>
      </c>
      <c r="G16" s="76" t="s">
        <v>31</v>
      </c>
      <c r="H16" s="76" t="s">
        <v>32</v>
      </c>
      <c r="I16" s="76" t="s">
        <v>33</v>
      </c>
      <c r="J16" s="153" t="s">
        <v>203</v>
      </c>
      <c r="K16" s="153" t="s">
        <v>835</v>
      </c>
      <c r="L16" s="117">
        <v>45420</v>
      </c>
      <c r="M16" s="117">
        <v>45422</v>
      </c>
      <c r="N16" s="130">
        <f t="shared" ref="N16:O18" si="8">2639.57/2</f>
        <v>1319.7850000000001</v>
      </c>
      <c r="O16" s="130">
        <f t="shared" si="8"/>
        <v>1319.7850000000001</v>
      </c>
      <c r="P16" s="130">
        <f t="shared" si="1"/>
        <v>2639.57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9"/>
    </row>
    <row r="17" spans="1:24" s="119" customFormat="1" ht="14.4" x14ac:dyDescent="0.25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52" t="s">
        <v>834</v>
      </c>
      <c r="G17" s="76" t="s">
        <v>31</v>
      </c>
      <c r="H17" s="76" t="s">
        <v>32</v>
      </c>
      <c r="I17" s="76" t="s">
        <v>33</v>
      </c>
      <c r="J17" s="153" t="s">
        <v>203</v>
      </c>
      <c r="K17" s="153" t="s">
        <v>835</v>
      </c>
      <c r="L17" s="117">
        <v>45420</v>
      </c>
      <c r="M17" s="117">
        <v>45422</v>
      </c>
      <c r="N17" s="130">
        <f t="shared" si="8"/>
        <v>1319.7850000000001</v>
      </c>
      <c r="O17" s="130">
        <f t="shared" si="8"/>
        <v>1319.7850000000001</v>
      </c>
      <c r="P17" s="130">
        <f t="shared" si="1"/>
        <v>2639.57</v>
      </c>
      <c r="Q17" s="79">
        <v>3</v>
      </c>
      <c r="R17" s="118">
        <v>120</v>
      </c>
      <c r="S17" s="79">
        <v>0</v>
      </c>
      <c r="T17" s="118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9"/>
    </row>
    <row r="18" spans="1:24" s="119" customFormat="1" ht="14.4" x14ac:dyDescent="0.25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52" t="s">
        <v>834</v>
      </c>
      <c r="G18" s="76" t="s">
        <v>31</v>
      </c>
      <c r="H18" s="76" t="s">
        <v>32</v>
      </c>
      <c r="I18" s="76" t="s">
        <v>33</v>
      </c>
      <c r="J18" s="153" t="s">
        <v>203</v>
      </c>
      <c r="K18" s="153" t="s">
        <v>835</v>
      </c>
      <c r="L18" s="117">
        <v>45420</v>
      </c>
      <c r="M18" s="117">
        <v>45422</v>
      </c>
      <c r="N18" s="130">
        <f t="shared" si="8"/>
        <v>1319.7850000000001</v>
      </c>
      <c r="O18" s="130">
        <f t="shared" si="8"/>
        <v>1319.7850000000001</v>
      </c>
      <c r="P18" s="130">
        <f t="shared" si="1"/>
        <v>2639.57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9"/>
    </row>
    <row r="19" spans="1:24" s="119" customFormat="1" ht="14.4" x14ac:dyDescent="0.25">
      <c r="A19" s="126" t="s">
        <v>250</v>
      </c>
      <c r="B19" s="126" t="s">
        <v>250</v>
      </c>
      <c r="C19" s="146" t="s">
        <v>670</v>
      </c>
      <c r="D19" s="47">
        <v>383</v>
      </c>
      <c r="E19" s="110" t="s">
        <v>703</v>
      </c>
      <c r="F19" s="152" t="s">
        <v>836</v>
      </c>
      <c r="G19" s="76" t="s">
        <v>31</v>
      </c>
      <c r="H19" s="76" t="s">
        <v>32</v>
      </c>
      <c r="I19" s="76" t="s">
        <v>33</v>
      </c>
      <c r="J19" s="153" t="s">
        <v>111</v>
      </c>
      <c r="K19" s="153" t="s">
        <v>112</v>
      </c>
      <c r="L19" s="117">
        <v>45434</v>
      </c>
      <c r="M19" s="117">
        <v>45435</v>
      </c>
      <c r="N19" s="130">
        <f>1844.11/2</f>
        <v>922.05499999999995</v>
      </c>
      <c r="O19" s="130">
        <f>1844.11/2</f>
        <v>922.05499999999995</v>
      </c>
      <c r="P19" s="130">
        <f t="shared" si="1"/>
        <v>1844.11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9"/>
    </row>
    <row r="20" spans="1:24" s="119" customFormat="1" ht="14.4" x14ac:dyDescent="0.25">
      <c r="A20" s="126" t="s">
        <v>250</v>
      </c>
      <c r="B20" s="126" t="s">
        <v>250</v>
      </c>
      <c r="C20" s="146" t="s">
        <v>378</v>
      </c>
      <c r="D20" s="47">
        <v>0</v>
      </c>
      <c r="E20" s="110" t="s">
        <v>55</v>
      </c>
      <c r="F20" s="152" t="s">
        <v>836</v>
      </c>
      <c r="G20" s="76" t="s">
        <v>31</v>
      </c>
      <c r="H20" s="76" t="s">
        <v>32</v>
      </c>
      <c r="I20" s="76" t="s">
        <v>33</v>
      </c>
      <c r="J20" s="153" t="s">
        <v>111</v>
      </c>
      <c r="K20" s="153" t="s">
        <v>112</v>
      </c>
      <c r="L20" s="117">
        <v>45434</v>
      </c>
      <c r="M20" s="117">
        <v>45435</v>
      </c>
      <c r="N20" s="130">
        <f>1844.11/2</f>
        <v>922.05499999999995</v>
      </c>
      <c r="O20" s="130">
        <f>1844.11/2</f>
        <v>922.05499999999995</v>
      </c>
      <c r="P20" s="130">
        <f t="shared" si="1"/>
        <v>1844.11</v>
      </c>
      <c r="Q20" s="79">
        <v>0</v>
      </c>
      <c r="R20" s="118">
        <v>120</v>
      </c>
      <c r="S20" s="79">
        <v>0</v>
      </c>
      <c r="T20" s="118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9"/>
    </row>
    <row r="21" spans="1:24" s="119" customFormat="1" ht="14.4" x14ac:dyDescent="0.25">
      <c r="A21" s="126" t="s">
        <v>250</v>
      </c>
      <c r="B21" s="126" t="s">
        <v>258</v>
      </c>
      <c r="C21" s="153" t="s">
        <v>576</v>
      </c>
      <c r="D21" s="47">
        <v>285</v>
      </c>
      <c r="E21" s="153" t="s">
        <v>844</v>
      </c>
      <c r="F21" s="152" t="s">
        <v>837</v>
      </c>
      <c r="G21" s="76" t="s">
        <v>31</v>
      </c>
      <c r="H21" s="76" t="s">
        <v>32</v>
      </c>
      <c r="I21" s="76" t="s">
        <v>33</v>
      </c>
      <c r="J21" s="153" t="s">
        <v>32</v>
      </c>
      <c r="K21" s="153" t="s">
        <v>390</v>
      </c>
      <c r="L21" s="117">
        <v>45434</v>
      </c>
      <c r="M21" s="117">
        <v>45435</v>
      </c>
      <c r="N21" s="130">
        <f>1690.67/2</f>
        <v>845.33500000000004</v>
      </c>
      <c r="O21" s="130">
        <f>1690.67/2</f>
        <v>845.33500000000004</v>
      </c>
      <c r="P21" s="130">
        <f t="shared" si="1"/>
        <v>1690.67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9"/>
    </row>
    <row r="22" spans="1:24" s="119" customFormat="1" ht="14.4" x14ac:dyDescent="0.25">
      <c r="A22" s="126" t="s">
        <v>229</v>
      </c>
      <c r="B22" s="126" t="s">
        <v>229</v>
      </c>
      <c r="C22" s="146" t="s">
        <v>698</v>
      </c>
      <c r="D22" s="47">
        <v>0</v>
      </c>
      <c r="E22" s="110" t="s">
        <v>561</v>
      </c>
      <c r="F22" s="152" t="s">
        <v>838</v>
      </c>
      <c r="G22" s="76" t="s">
        <v>31</v>
      </c>
      <c r="H22" s="76" t="s">
        <v>32</v>
      </c>
      <c r="I22" s="76" t="s">
        <v>33</v>
      </c>
      <c r="J22" s="153" t="s">
        <v>38</v>
      </c>
      <c r="K22" s="153" t="s">
        <v>39</v>
      </c>
      <c r="L22" s="117">
        <v>45434</v>
      </c>
      <c r="M22" s="117">
        <v>45435</v>
      </c>
      <c r="N22" s="130">
        <f>1814.29/2</f>
        <v>907.14499999999998</v>
      </c>
      <c r="O22" s="130">
        <f>1814.29/2</f>
        <v>907.14499999999998</v>
      </c>
      <c r="P22" s="130">
        <f t="shared" si="1"/>
        <v>1814.29</v>
      </c>
      <c r="Q22" s="79">
        <v>0</v>
      </c>
      <c r="R22" s="118">
        <v>120</v>
      </c>
      <c r="S22" s="79">
        <v>0</v>
      </c>
      <c r="T22" s="118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9"/>
    </row>
    <row r="23" spans="1:24" s="119" customFormat="1" ht="14.4" x14ac:dyDescent="0.25">
      <c r="A23" s="126" t="s">
        <v>372</v>
      </c>
      <c r="B23" s="126" t="s">
        <v>372</v>
      </c>
      <c r="C23" s="146" t="s">
        <v>819</v>
      </c>
      <c r="D23" s="47">
        <v>0</v>
      </c>
      <c r="E23" s="149" t="s">
        <v>88</v>
      </c>
      <c r="F23" s="152" t="s">
        <v>839</v>
      </c>
      <c r="G23" s="76" t="s">
        <v>31</v>
      </c>
      <c r="H23" s="76" t="s">
        <v>32</v>
      </c>
      <c r="I23" s="76" t="s">
        <v>33</v>
      </c>
      <c r="J23" s="153" t="s">
        <v>111</v>
      </c>
      <c r="K23" s="153" t="s">
        <v>112</v>
      </c>
      <c r="L23" s="117">
        <v>45433</v>
      </c>
      <c r="M23" s="117">
        <v>45439</v>
      </c>
      <c r="N23" s="130">
        <f>1898.85/2</f>
        <v>949.42499999999995</v>
      </c>
      <c r="O23" s="130">
        <f>1898.85/2</f>
        <v>949.42499999999995</v>
      </c>
      <c r="P23" s="130">
        <f t="shared" ref="P23:P26" si="12">SUM(N23:O23)</f>
        <v>1898.85</v>
      </c>
      <c r="Q23" s="79">
        <v>0</v>
      </c>
      <c r="R23" s="118">
        <v>120</v>
      </c>
      <c r="S23" s="79">
        <v>0</v>
      </c>
      <c r="T23" s="118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9"/>
    </row>
    <row r="24" spans="1:24" s="119" customFormat="1" ht="14.4" x14ac:dyDescent="0.25">
      <c r="A24" s="126" t="s">
        <v>250</v>
      </c>
      <c r="B24" s="126" t="s">
        <v>212</v>
      </c>
      <c r="C24" s="146" t="s">
        <v>612</v>
      </c>
      <c r="D24" s="47">
        <v>365</v>
      </c>
      <c r="E24" s="110" t="s">
        <v>52</v>
      </c>
      <c r="F24" s="152" t="s">
        <v>840</v>
      </c>
      <c r="G24" s="76" t="s">
        <v>31</v>
      </c>
      <c r="H24" s="76" t="s">
        <v>32</v>
      </c>
      <c r="I24" s="76" t="s">
        <v>33</v>
      </c>
      <c r="J24" s="153" t="s">
        <v>32</v>
      </c>
      <c r="K24" s="153" t="s">
        <v>390</v>
      </c>
      <c r="L24" s="117">
        <v>45419</v>
      </c>
      <c r="M24" s="117">
        <v>45421</v>
      </c>
      <c r="N24" s="130">
        <f>1566.08/2</f>
        <v>783.04</v>
      </c>
      <c r="O24" s="130">
        <f>1566.08/2</f>
        <v>783.04</v>
      </c>
      <c r="P24" s="130">
        <f t="shared" si="12"/>
        <v>1566.08</v>
      </c>
      <c r="Q24" s="79">
        <v>3</v>
      </c>
      <c r="R24" s="118">
        <v>120</v>
      </c>
      <c r="S24" s="79">
        <v>0</v>
      </c>
      <c r="T24" s="118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9"/>
    </row>
    <row r="25" spans="1:24" s="119" customFormat="1" ht="14.4" x14ac:dyDescent="0.25">
      <c r="A25" s="126" t="s">
        <v>250</v>
      </c>
      <c r="B25" s="126" t="s">
        <v>212</v>
      </c>
      <c r="C25" s="146" t="s">
        <v>270</v>
      </c>
      <c r="D25" s="47" t="s">
        <v>173</v>
      </c>
      <c r="E25" s="110" t="s">
        <v>599</v>
      </c>
      <c r="F25" s="152" t="s">
        <v>840</v>
      </c>
      <c r="G25" s="76" t="s">
        <v>31</v>
      </c>
      <c r="H25" s="76" t="s">
        <v>32</v>
      </c>
      <c r="I25" s="76" t="s">
        <v>33</v>
      </c>
      <c r="J25" s="153" t="s">
        <v>32</v>
      </c>
      <c r="K25" s="153" t="s">
        <v>390</v>
      </c>
      <c r="L25" s="117">
        <v>45419</v>
      </c>
      <c r="M25" s="117">
        <v>45421</v>
      </c>
      <c r="N25" s="130">
        <f>1566.08/2</f>
        <v>783.04</v>
      </c>
      <c r="O25" s="130">
        <f>1566.08/2</f>
        <v>783.04</v>
      </c>
      <c r="P25" s="130">
        <f t="shared" si="12"/>
        <v>1566.08</v>
      </c>
      <c r="Q25" s="79">
        <v>3</v>
      </c>
      <c r="R25" s="118">
        <v>120</v>
      </c>
      <c r="S25" s="79">
        <v>0</v>
      </c>
      <c r="T25" s="118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9"/>
    </row>
    <row r="26" spans="1:24" s="119" customFormat="1" ht="14.4" x14ac:dyDescent="0.25">
      <c r="A26" s="126" t="s">
        <v>229</v>
      </c>
      <c r="B26" s="126" t="s">
        <v>461</v>
      </c>
      <c r="C26" s="153" t="s">
        <v>396</v>
      </c>
      <c r="D26" s="47">
        <v>349</v>
      </c>
      <c r="E26" s="153" t="s">
        <v>406</v>
      </c>
      <c r="F26" s="152" t="s">
        <v>841</v>
      </c>
      <c r="G26" s="76" t="s">
        <v>31</v>
      </c>
      <c r="H26" s="76" t="s">
        <v>32</v>
      </c>
      <c r="I26" s="76" t="s">
        <v>33</v>
      </c>
      <c r="J26" s="153" t="s">
        <v>462</v>
      </c>
      <c r="K26" s="153" t="s">
        <v>424</v>
      </c>
      <c r="L26" s="117">
        <v>45419</v>
      </c>
      <c r="M26" s="117">
        <v>45422</v>
      </c>
      <c r="N26" s="130">
        <f>1440.53/2</f>
        <v>720.26499999999999</v>
      </c>
      <c r="O26" s="130">
        <f>1440.53/2</f>
        <v>720.26499999999999</v>
      </c>
      <c r="P26" s="130">
        <f t="shared" si="12"/>
        <v>1440.53</v>
      </c>
      <c r="Q26" s="79">
        <v>4</v>
      </c>
      <c r="R26" s="118">
        <v>120</v>
      </c>
      <c r="S26" s="79">
        <v>0</v>
      </c>
      <c r="T26" s="118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25"/>
  <cols>
    <col min="1" max="1" width="19.09765625" customWidth="1"/>
    <col min="2" max="2" width="15.39843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43160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47.25" customHeight="1" x14ac:dyDescent="0.25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6" x14ac:dyDescent="0.25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6.4" x14ac:dyDescent="0.25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9.6" x14ac:dyDescent="0.25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9.6" x14ac:dyDescent="0.25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tabSelected="1" topLeftCell="K1" workbookViewId="0">
      <selection activeCell="E17" sqref="E17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5" t="s">
        <v>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4" x14ac:dyDescent="0.25">
      <c r="A2" s="155" t="s">
        <v>5</v>
      </c>
      <c r="B2" s="155"/>
      <c r="C2" s="155" t="s">
        <v>6</v>
      </c>
      <c r="D2" s="155"/>
      <c r="E2" s="155"/>
      <c r="F2" s="155" t="s">
        <v>3</v>
      </c>
      <c r="G2" s="155"/>
      <c r="H2" s="155"/>
      <c r="I2" s="155"/>
      <c r="J2" s="155"/>
      <c r="K2" s="155"/>
      <c r="L2" s="155"/>
      <c r="M2" s="155"/>
      <c r="N2" s="155" t="s">
        <v>7</v>
      </c>
      <c r="O2" s="155"/>
      <c r="P2" s="155"/>
      <c r="Q2" s="155" t="s">
        <v>1</v>
      </c>
      <c r="R2" s="155"/>
      <c r="S2" s="155"/>
      <c r="T2" s="155"/>
      <c r="U2" s="155"/>
      <c r="V2" s="155"/>
      <c r="W2" s="155" t="s">
        <v>8</v>
      </c>
      <c r="X2" s="208" t="s">
        <v>9</v>
      </c>
    </row>
    <row r="3" spans="1:24" x14ac:dyDescent="0.25">
      <c r="A3" s="156" t="s">
        <v>10</v>
      </c>
      <c r="B3" s="156" t="s">
        <v>11</v>
      </c>
      <c r="C3" s="156" t="s">
        <v>12</v>
      </c>
      <c r="D3" s="156" t="s">
        <v>13</v>
      </c>
      <c r="E3" s="156" t="s">
        <v>14</v>
      </c>
      <c r="F3" s="156" t="s">
        <v>15</v>
      </c>
      <c r="G3" s="156" t="s">
        <v>16</v>
      </c>
      <c r="H3" s="156" t="s">
        <v>17</v>
      </c>
      <c r="I3" s="156"/>
      <c r="J3" s="157" t="s">
        <v>18</v>
      </c>
      <c r="K3" s="157"/>
      <c r="L3" s="156" t="s">
        <v>19</v>
      </c>
      <c r="M3" s="156" t="s">
        <v>20</v>
      </c>
      <c r="N3" s="157" t="s">
        <v>21</v>
      </c>
      <c r="O3" s="157" t="s">
        <v>22</v>
      </c>
      <c r="P3" s="157" t="s">
        <v>23</v>
      </c>
      <c r="Q3" s="157" t="s">
        <v>24</v>
      </c>
      <c r="R3" s="157"/>
      <c r="S3" s="157" t="s">
        <v>25</v>
      </c>
      <c r="T3" s="157"/>
      <c r="U3" s="156" t="s">
        <v>26</v>
      </c>
      <c r="V3" s="157" t="s">
        <v>23</v>
      </c>
      <c r="W3" s="155"/>
      <c r="X3" s="208"/>
    </row>
    <row r="4" spans="1:24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11"/>
      <c r="O4" s="211"/>
      <c r="P4" s="211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11"/>
      <c r="W4" s="212"/>
      <c r="X4" s="209"/>
    </row>
    <row r="5" spans="1:24" s="119" customFormat="1" ht="14.4" x14ac:dyDescent="0.25">
      <c r="A5" s="126" t="s">
        <v>250</v>
      </c>
      <c r="B5" s="253" t="s">
        <v>258</v>
      </c>
      <c r="C5" s="153" t="s">
        <v>830</v>
      </c>
      <c r="D5" s="47">
        <v>410</v>
      </c>
      <c r="E5" s="153" t="s">
        <v>797</v>
      </c>
      <c r="F5" s="150" t="s">
        <v>847</v>
      </c>
      <c r="G5" s="76" t="s">
        <v>31</v>
      </c>
      <c r="H5" s="76" t="s">
        <v>32</v>
      </c>
      <c r="I5" s="76" t="s">
        <v>33</v>
      </c>
      <c r="J5" s="253" t="s">
        <v>32</v>
      </c>
      <c r="K5" s="253" t="s">
        <v>390</v>
      </c>
      <c r="L5" s="117">
        <v>45448</v>
      </c>
      <c r="M5" s="117">
        <v>45450</v>
      </c>
      <c r="N5" s="130">
        <f>1710.08/2</f>
        <v>855.04</v>
      </c>
      <c r="O5" s="130">
        <f>1710.08/2</f>
        <v>855.04</v>
      </c>
      <c r="P5" s="130">
        <f t="shared" ref="P5:P16" si="0">SUM(N5:O5)</f>
        <v>1710.08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9"/>
    </row>
    <row r="6" spans="1:24" s="119" customFormat="1" ht="14.4" x14ac:dyDescent="0.25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2" t="s">
        <v>845</v>
      </c>
      <c r="G6" s="76" t="s">
        <v>31</v>
      </c>
      <c r="H6" s="76" t="s">
        <v>32</v>
      </c>
      <c r="I6" s="76" t="s">
        <v>33</v>
      </c>
      <c r="J6" s="253" t="s">
        <v>364</v>
      </c>
      <c r="K6" s="253" t="s">
        <v>363</v>
      </c>
      <c r="L6" s="117">
        <v>45448</v>
      </c>
      <c r="M6" s="117">
        <v>45450</v>
      </c>
      <c r="N6" s="130">
        <f>831.54/2</f>
        <v>415.77</v>
      </c>
      <c r="O6" s="130">
        <f>831.54/2</f>
        <v>415.77</v>
      </c>
      <c r="P6" s="130">
        <f t="shared" si="0"/>
        <v>831.54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9"/>
    </row>
    <row r="7" spans="1:24" s="119" customFormat="1" ht="14.4" x14ac:dyDescent="0.25">
      <c r="A7" s="126" t="s">
        <v>229</v>
      </c>
      <c r="B7" s="126" t="s">
        <v>214</v>
      </c>
      <c r="C7" s="149" t="s">
        <v>745</v>
      </c>
      <c r="D7" s="47">
        <v>386</v>
      </c>
      <c r="E7" s="110" t="s">
        <v>221</v>
      </c>
      <c r="F7" s="152" t="s">
        <v>845</v>
      </c>
      <c r="G7" s="76" t="s">
        <v>31</v>
      </c>
      <c r="H7" s="76" t="s">
        <v>32</v>
      </c>
      <c r="I7" s="76" t="s">
        <v>33</v>
      </c>
      <c r="J7" s="253" t="s">
        <v>364</v>
      </c>
      <c r="K7" s="253" t="s">
        <v>363</v>
      </c>
      <c r="L7" s="117">
        <v>45448</v>
      </c>
      <c r="M7" s="117">
        <v>45450</v>
      </c>
      <c r="N7" s="130">
        <f t="shared" ref="N7:O8" si="4">831.54/2</f>
        <v>415.77</v>
      </c>
      <c r="O7" s="130">
        <f t="shared" si="4"/>
        <v>415.77</v>
      </c>
      <c r="P7" s="130">
        <f t="shared" si="0"/>
        <v>831.54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9"/>
    </row>
    <row r="8" spans="1:24" s="119" customFormat="1" ht="14.4" x14ac:dyDescent="0.25">
      <c r="A8" s="126" t="s">
        <v>229</v>
      </c>
      <c r="B8" s="126" t="s">
        <v>229</v>
      </c>
      <c r="C8" s="153" t="s">
        <v>757</v>
      </c>
      <c r="D8" s="47">
        <v>392</v>
      </c>
      <c r="E8" s="253" t="s">
        <v>853</v>
      </c>
      <c r="F8" s="152" t="s">
        <v>845</v>
      </c>
      <c r="G8" s="76" t="s">
        <v>31</v>
      </c>
      <c r="H8" s="76" t="s">
        <v>32</v>
      </c>
      <c r="I8" s="76" t="s">
        <v>33</v>
      </c>
      <c r="J8" s="253" t="s">
        <v>364</v>
      </c>
      <c r="K8" s="253" t="s">
        <v>363</v>
      </c>
      <c r="L8" s="117">
        <v>45448</v>
      </c>
      <c r="M8" s="117">
        <v>45450</v>
      </c>
      <c r="N8" s="130">
        <f t="shared" si="4"/>
        <v>415.77</v>
      </c>
      <c r="O8" s="130">
        <f t="shared" si="4"/>
        <v>415.77</v>
      </c>
      <c r="P8" s="130">
        <f t="shared" si="0"/>
        <v>831.54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9"/>
    </row>
    <row r="9" spans="1:24" s="119" customFormat="1" ht="14.4" x14ac:dyDescent="0.25">
      <c r="A9" s="126" t="s">
        <v>250</v>
      </c>
      <c r="B9" s="126" t="s">
        <v>212</v>
      </c>
      <c r="C9" s="146" t="s">
        <v>95</v>
      </c>
      <c r="D9" s="47">
        <v>73</v>
      </c>
      <c r="E9" s="253" t="s">
        <v>854</v>
      </c>
      <c r="F9" s="152" t="s">
        <v>848</v>
      </c>
      <c r="G9" s="76" t="s">
        <v>31</v>
      </c>
      <c r="H9" s="76" t="s">
        <v>32</v>
      </c>
      <c r="I9" s="76" t="s">
        <v>33</v>
      </c>
      <c r="J9" s="253" t="s">
        <v>38</v>
      </c>
      <c r="K9" s="253" t="s">
        <v>39</v>
      </c>
      <c r="L9" s="117">
        <v>45466</v>
      </c>
      <c r="M9" s="117">
        <v>45471</v>
      </c>
      <c r="N9" s="130">
        <f>1891.11/2</f>
        <v>945.55499999999995</v>
      </c>
      <c r="O9" s="130">
        <f>1891.11/2</f>
        <v>945.55499999999995</v>
      </c>
      <c r="P9" s="130">
        <f t="shared" si="0"/>
        <v>1891.11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9"/>
    </row>
    <row r="10" spans="1:24" s="119" customFormat="1" ht="14.4" x14ac:dyDescent="0.25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254" t="s">
        <v>569</v>
      </c>
      <c r="G10" s="76" t="s">
        <v>31</v>
      </c>
      <c r="H10" s="76" t="s">
        <v>32</v>
      </c>
      <c r="I10" s="76" t="s">
        <v>33</v>
      </c>
      <c r="J10" s="253" t="s">
        <v>38</v>
      </c>
      <c r="K10" s="253" t="s">
        <v>39</v>
      </c>
      <c r="L10" s="117">
        <v>45462</v>
      </c>
      <c r="M10" s="117">
        <v>45463</v>
      </c>
      <c r="N10" s="130">
        <f>2224.11/2</f>
        <v>1112.0550000000001</v>
      </c>
      <c r="O10" s="130">
        <f>2224.11/2</f>
        <v>1112.0550000000001</v>
      </c>
      <c r="P10" s="130">
        <f t="shared" si="0"/>
        <v>2224.11</v>
      </c>
      <c r="Q10" s="79">
        <v>0</v>
      </c>
      <c r="R10" s="118">
        <v>120</v>
      </c>
      <c r="S10" s="79">
        <v>0</v>
      </c>
      <c r="T10" s="118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9"/>
    </row>
    <row r="11" spans="1:24" s="119" customFormat="1" ht="14.4" x14ac:dyDescent="0.25">
      <c r="A11" s="126" t="s">
        <v>250</v>
      </c>
      <c r="B11" s="126" t="s">
        <v>322</v>
      </c>
      <c r="C11" s="153" t="s">
        <v>320</v>
      </c>
      <c r="D11" s="47">
        <v>204</v>
      </c>
      <c r="E11" s="149" t="s">
        <v>647</v>
      </c>
      <c r="F11" s="152" t="s">
        <v>846</v>
      </c>
      <c r="G11" s="76" t="s">
        <v>31</v>
      </c>
      <c r="H11" s="76" t="s">
        <v>32</v>
      </c>
      <c r="I11" s="76" t="s">
        <v>33</v>
      </c>
      <c r="J11" s="253" t="s">
        <v>61</v>
      </c>
      <c r="K11" s="253" t="s">
        <v>413</v>
      </c>
      <c r="L11" s="117">
        <v>45468</v>
      </c>
      <c r="M11" s="117">
        <v>45470</v>
      </c>
      <c r="N11" s="130">
        <f>2379.07/2</f>
        <v>1189.5350000000001</v>
      </c>
      <c r="O11" s="130">
        <f>2379.07/2</f>
        <v>1189.5350000000001</v>
      </c>
      <c r="P11" s="130">
        <f t="shared" si="0"/>
        <v>2379.0700000000002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9"/>
    </row>
    <row r="12" spans="1:24" s="119" customFormat="1" ht="14.4" x14ac:dyDescent="0.25">
      <c r="A12" s="126" t="s">
        <v>229</v>
      </c>
      <c r="B12" s="126" t="s">
        <v>215</v>
      </c>
      <c r="C12" s="153" t="s">
        <v>48</v>
      </c>
      <c r="D12" s="47">
        <v>56</v>
      </c>
      <c r="E12" s="149" t="s">
        <v>615</v>
      </c>
      <c r="F12" s="152" t="s">
        <v>849</v>
      </c>
      <c r="G12" s="76" t="s">
        <v>31</v>
      </c>
      <c r="H12" s="151" t="s">
        <v>61</v>
      </c>
      <c r="I12" s="76" t="s">
        <v>33</v>
      </c>
      <c r="J12" s="253" t="s">
        <v>38</v>
      </c>
      <c r="K12" s="253" t="s">
        <v>39</v>
      </c>
      <c r="L12" s="117">
        <v>45462</v>
      </c>
      <c r="M12" s="117">
        <v>45463</v>
      </c>
      <c r="N12" s="130">
        <f>2610.87/2</f>
        <v>1305.4349999999999</v>
      </c>
      <c r="O12" s="130">
        <f>2610.87/2</f>
        <v>1305.4349999999999</v>
      </c>
      <c r="P12" s="130">
        <f t="shared" si="0"/>
        <v>2610.87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9"/>
    </row>
    <row r="13" spans="1:24" s="119" customFormat="1" ht="14.4" x14ac:dyDescent="0.25">
      <c r="A13" s="126" t="s">
        <v>250</v>
      </c>
      <c r="B13" s="126" t="s">
        <v>322</v>
      </c>
      <c r="C13" s="146" t="s">
        <v>343</v>
      </c>
      <c r="D13" s="47">
        <v>128</v>
      </c>
      <c r="E13" s="253" t="s">
        <v>842</v>
      </c>
      <c r="F13" s="152" t="s">
        <v>846</v>
      </c>
      <c r="G13" s="76" t="s">
        <v>31</v>
      </c>
      <c r="H13" s="76" t="s">
        <v>32</v>
      </c>
      <c r="I13" s="76" t="s">
        <v>33</v>
      </c>
      <c r="J13" s="253" t="s">
        <v>61</v>
      </c>
      <c r="K13" s="253" t="s">
        <v>413</v>
      </c>
      <c r="L13" s="117">
        <v>45468</v>
      </c>
      <c r="M13" s="117">
        <v>45470</v>
      </c>
      <c r="N13" s="130">
        <f>2379.97/2</f>
        <v>1189.9849999999999</v>
      </c>
      <c r="O13" s="130">
        <f>2379.97/2</f>
        <v>1189.9849999999999</v>
      </c>
      <c r="P13" s="130">
        <f t="shared" si="0"/>
        <v>2379.9699999999998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9"/>
    </row>
    <row r="14" spans="1:24" s="119" customFormat="1" ht="14.4" x14ac:dyDescent="0.25">
      <c r="A14" s="126" t="s">
        <v>250</v>
      </c>
      <c r="B14" s="126" t="s">
        <v>212</v>
      </c>
      <c r="C14" s="146" t="s">
        <v>539</v>
      </c>
      <c r="D14" s="47">
        <v>159</v>
      </c>
      <c r="E14" s="253" t="s">
        <v>549</v>
      </c>
      <c r="F14" s="152" t="s">
        <v>850</v>
      </c>
      <c r="G14" s="76" t="s">
        <v>31</v>
      </c>
      <c r="H14" s="76" t="s">
        <v>32</v>
      </c>
      <c r="I14" s="76" t="s">
        <v>33</v>
      </c>
      <c r="J14" s="253" t="s">
        <v>111</v>
      </c>
      <c r="K14" s="253" t="s">
        <v>820</v>
      </c>
      <c r="L14" s="117">
        <v>45469</v>
      </c>
      <c r="M14" s="117">
        <v>45470</v>
      </c>
      <c r="N14" s="130">
        <f>1851/2</f>
        <v>925.5</v>
      </c>
      <c r="O14" s="130">
        <f>1851/2</f>
        <v>925.5</v>
      </c>
      <c r="P14" s="130">
        <f t="shared" si="0"/>
        <v>1851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9"/>
    </row>
    <row r="15" spans="1:24" s="119" customFormat="1" ht="14.4" x14ac:dyDescent="0.25">
      <c r="A15" s="126" t="s">
        <v>250</v>
      </c>
      <c r="B15" s="126" t="s">
        <v>289</v>
      </c>
      <c r="C15" s="146" t="s">
        <v>236</v>
      </c>
      <c r="D15" s="47">
        <v>82</v>
      </c>
      <c r="E15" s="110" t="s">
        <v>89</v>
      </c>
      <c r="F15" s="152" t="s">
        <v>851</v>
      </c>
      <c r="G15" s="76" t="s">
        <v>31</v>
      </c>
      <c r="H15" s="76" t="s">
        <v>32</v>
      </c>
      <c r="I15" s="76" t="s">
        <v>33</v>
      </c>
      <c r="J15" s="253" t="s">
        <v>32</v>
      </c>
      <c r="K15" s="253" t="s">
        <v>390</v>
      </c>
      <c r="L15" s="117">
        <v>45459</v>
      </c>
      <c r="M15" s="117">
        <v>45461</v>
      </c>
      <c r="N15" s="130">
        <f>2101.95/2</f>
        <v>1050.9749999999999</v>
      </c>
      <c r="O15" s="130">
        <f>2101.95/2</f>
        <v>1050.9749999999999</v>
      </c>
      <c r="P15" s="130">
        <f t="shared" si="0"/>
        <v>2101.9499999999998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9"/>
    </row>
    <row r="16" spans="1:24" s="119" customFormat="1" ht="14.4" x14ac:dyDescent="0.25">
      <c r="A16" s="126" t="s">
        <v>372</v>
      </c>
      <c r="B16" s="126" t="s">
        <v>272</v>
      </c>
      <c r="C16" s="146" t="s">
        <v>752</v>
      </c>
      <c r="D16" s="47">
        <v>384</v>
      </c>
      <c r="E16" s="253" t="s">
        <v>778</v>
      </c>
      <c r="F16" s="152" t="s">
        <v>852</v>
      </c>
      <c r="G16" s="76" t="s">
        <v>31</v>
      </c>
      <c r="H16" s="76" t="s">
        <v>32</v>
      </c>
      <c r="I16" s="76" t="s">
        <v>33</v>
      </c>
      <c r="J16" s="253" t="s">
        <v>111</v>
      </c>
      <c r="K16" s="253" t="s">
        <v>820</v>
      </c>
      <c r="L16" s="117">
        <v>45469</v>
      </c>
      <c r="M16" s="117">
        <v>45470</v>
      </c>
      <c r="N16" s="130">
        <f>1852/2</f>
        <v>926</v>
      </c>
      <c r="O16" s="130">
        <f>1852/2</f>
        <v>926</v>
      </c>
      <c r="P16" s="130">
        <f t="shared" si="0"/>
        <v>1852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3.8" x14ac:dyDescent="0.25"/>
  <sheetData/>
  <pageMargins left="0.511811024" right="0.511811024" top="0.78740157499999996" bottom="0.78740157499999996" header="0.31496062000000002" footer="0.3149606200000000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3.8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38.3984375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4" t="s">
        <v>0</v>
      </c>
      <c r="W5" s="154"/>
      <c r="X5" s="8">
        <v>43191</v>
      </c>
    </row>
    <row r="6" spans="1:24" ht="13.8" x14ac:dyDescent="0.25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</row>
    <row r="7" spans="1:24" ht="13.8" x14ac:dyDescent="0.25">
      <c r="A7" s="155" t="s">
        <v>5</v>
      </c>
      <c r="B7" s="155"/>
      <c r="C7" s="155" t="s">
        <v>6</v>
      </c>
      <c r="D7" s="155"/>
      <c r="E7" s="155"/>
      <c r="F7" s="155" t="s">
        <v>3</v>
      </c>
      <c r="G7" s="155"/>
      <c r="H7" s="155"/>
      <c r="I7" s="155"/>
      <c r="J7" s="155"/>
      <c r="K7" s="155"/>
      <c r="L7" s="155"/>
      <c r="M7" s="155"/>
      <c r="N7" s="155" t="s">
        <v>7</v>
      </c>
      <c r="O7" s="155"/>
      <c r="P7" s="155"/>
      <c r="Q7" s="155" t="s">
        <v>1</v>
      </c>
      <c r="R7" s="155"/>
      <c r="S7" s="155"/>
      <c r="T7" s="155"/>
      <c r="U7" s="155"/>
      <c r="V7" s="155"/>
      <c r="W7" s="155" t="s">
        <v>8</v>
      </c>
      <c r="X7" s="155" t="s">
        <v>9</v>
      </c>
    </row>
    <row r="8" spans="1:24" s="9" customFormat="1" ht="13.8" x14ac:dyDescent="0.25">
      <c r="A8" s="156" t="s">
        <v>10</v>
      </c>
      <c r="B8" s="156" t="s">
        <v>11</v>
      </c>
      <c r="C8" s="156" t="s">
        <v>12</v>
      </c>
      <c r="D8" s="156" t="s">
        <v>13</v>
      </c>
      <c r="E8" s="156" t="s">
        <v>14</v>
      </c>
      <c r="F8" s="156" t="s">
        <v>15</v>
      </c>
      <c r="G8" s="156" t="s">
        <v>16</v>
      </c>
      <c r="H8" s="156" t="s">
        <v>17</v>
      </c>
      <c r="I8" s="156"/>
      <c r="J8" s="157" t="s">
        <v>18</v>
      </c>
      <c r="K8" s="157"/>
      <c r="L8" s="156" t="s">
        <v>19</v>
      </c>
      <c r="M8" s="156" t="s">
        <v>20</v>
      </c>
      <c r="N8" s="157" t="s">
        <v>21</v>
      </c>
      <c r="O8" s="157" t="s">
        <v>22</v>
      </c>
      <c r="P8" s="157" t="s">
        <v>23</v>
      </c>
      <c r="Q8" s="157" t="s">
        <v>24</v>
      </c>
      <c r="R8" s="157"/>
      <c r="S8" s="157" t="s">
        <v>25</v>
      </c>
      <c r="T8" s="157"/>
      <c r="U8" s="156" t="s">
        <v>26</v>
      </c>
      <c r="V8" s="157" t="s">
        <v>23</v>
      </c>
      <c r="W8" s="155"/>
      <c r="X8" s="155"/>
    </row>
    <row r="9" spans="1:24" s="9" customFormat="1" ht="17.25" customHeight="1" x14ac:dyDescent="0.25">
      <c r="A9" s="156"/>
      <c r="B9" s="156"/>
      <c r="C9" s="156"/>
      <c r="D9" s="156"/>
      <c r="E9" s="156"/>
      <c r="F9" s="156"/>
      <c r="G9" s="156"/>
      <c r="H9" s="10" t="s">
        <v>27</v>
      </c>
      <c r="I9" s="10" t="s">
        <v>28</v>
      </c>
      <c r="J9" s="10" t="s">
        <v>27</v>
      </c>
      <c r="K9" s="11" t="s">
        <v>29</v>
      </c>
      <c r="L9" s="156"/>
      <c r="M9" s="156"/>
      <c r="N9" s="157"/>
      <c r="O9" s="157"/>
      <c r="P9" s="157"/>
      <c r="Q9" s="10" t="s">
        <v>2</v>
      </c>
      <c r="R9" s="11" t="s">
        <v>30</v>
      </c>
      <c r="S9" s="10" t="s">
        <v>2</v>
      </c>
      <c r="T9" s="11" t="s">
        <v>30</v>
      </c>
      <c r="U9" s="156"/>
      <c r="V9" s="157"/>
      <c r="W9" s="155"/>
      <c r="X9" s="155"/>
    </row>
    <row r="10" spans="1:24" ht="47.25" customHeight="1" x14ac:dyDescent="0.25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2.8" x14ac:dyDescent="0.25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9.6" x14ac:dyDescent="0.25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6.4" x14ac:dyDescent="0.25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6.4" x14ac:dyDescent="0.25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6.4" x14ac:dyDescent="0.25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9.6" x14ac:dyDescent="0.25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9.6" x14ac:dyDescent="0.25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82</vt:i4>
      </vt:variant>
    </vt:vector>
  </HeadingPairs>
  <TitlesOfParts>
    <vt:vector size="82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EXECUTADO_- Novembro -_2023</vt:lpstr>
      <vt:lpstr>EXECUTADO_- Dezembro -_2023</vt:lpstr>
      <vt:lpstr>EXECUTADO_- Janeiro -_2024</vt:lpstr>
      <vt:lpstr>EXECUTADO_- Fevereir -_2024</vt:lpstr>
      <vt:lpstr>EXECUTADO_- Março -_2024</vt:lpstr>
      <vt:lpstr>EXECUTADO_- Abril -_2024</vt:lpstr>
      <vt:lpstr>EXECUTADO_- Maio -_2024</vt:lpstr>
      <vt:lpstr>EXECUTADO_- Junho -_2024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2024-07-11T17:37:19Z</dcterms:modified>
</cp:coreProperties>
</file>