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Relatórios\MAPA DE VIAGENS E DIÁRIAS\"/>
    </mc:Choice>
  </mc:AlternateContent>
  <xr:revisionPtr revIDLastSave="0" documentId="8_{440D0350-886C-493B-87AD-8B62AAFC1177}" xr6:coauthVersionLast="47" xr6:coauthVersionMax="47" xr10:uidLastSave="{00000000-0000-0000-0000-000000000000}"/>
  <bookViews>
    <workbookView xWindow="-120" yWindow="-120" windowWidth="29040" windowHeight="15840" firstSheet="77" activeTab="77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Plan2" sheetId="68" r:id="rId79"/>
    <sheet name="Plan3" sheetId="80" r:id="rId8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92" l="1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V12" i="92" l="1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<sst xmlns="http://schemas.openxmlformats.org/spreadsheetml/2006/main" count="9578" uniqueCount="830">
  <si>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</si>
  <si>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</si>
  <si>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</si>
  <si>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</si>
  <si>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</si>
  <si>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</si>
  <si>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</si>
  <si>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</si>
  <si>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</si>
  <si>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</si>
  <si>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</si>
  <si>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</si>
  <si>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</si>
  <si>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</si>
  <si>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</si>
  <si>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</si>
  <si>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</si>
  <si>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</si>
  <si>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</si>
  <si>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</si>
  <si>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</si>
  <si>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</si>
  <si>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</si>
  <si>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</si>
  <si>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</si>
  <si>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</si>
  <si>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</si>
  <si>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</si>
  <si>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</si>
  <si>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</si>
  <si>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</si>
  <si>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</si>
  <si>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</si>
  <si>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</si>
  <si>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</si>
  <si>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</si>
  <si>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</si>
  <si>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</si>
  <si>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</si>
  <si>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</si>
  <si>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</si>
  <si>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</si>
  <si>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</si>
  <si>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</si>
  <si>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</si>
  <si>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</si>
  <si>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</si>
  <si>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</si>
  <si>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</si>
  <si>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</si>
  <si>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</si>
  <si>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</si>
  <si>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</si>
  <si>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</si>
  <si>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</si>
  <si>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</si>
  <si>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</si>
  <si>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</si>
  <si>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</si>
  <si>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</si>
  <si>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</si>
  <si>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</si>
  <si>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</si>
  <si>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</si>
  <si>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</si>
  <si>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</si>
  <si>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</si>
  <si>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</si>
  <si>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</si>
  <si>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</si>
  <si>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</si>
  <si>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</si>
  <si>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</si>
  <si>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</si>
  <si>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</si>
  <si>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</si>
  <si>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</si>
  <si>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</si>
  <si>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</si>
  <si>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</si>
  <si>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</si>
  <si>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</si>
  <si>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</si>
  <si>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</si>
  <si>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</si>
  <si>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</si>
  <si>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</si>
  <si>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</si>
  <si>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</si>
  <si>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</si>
  <si>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</si>
  <si>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</si>
  <si>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</si>
  <si>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</si>
  <si>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</si>
  <si>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</si>
  <si>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</si>
  <si>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</si>
  <si>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</si>
  <si>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</si>
  <si>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</si>
  <si>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</si>
  <si>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</si>
  <si>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</si>
  <si>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</si>
  <si>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</si>
  <si>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</si>
  <si>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</si>
  <si>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</si>
  <si>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</si>
  <si>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</si>
  <si>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</si>
  <si>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</si>
  <si>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</si>
  <si>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</si>
  <si>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</si>
  <si>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</si>
  <si>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</si>
  <si>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</si>
  <si>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</si>
  <si>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</si>
  <si>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</si>
  <si>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</si>
  <si>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</si>
  <si>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</si>
  <si>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</si>
  <si>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</si>
  <si>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</si>
  <si>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</si>
  <si>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</si>
  <si>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</si>
  <si>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</si>
  <si>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</si>
  <si>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</si>
  <si>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</si>
  <si>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</si>
  <si>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</si>
  <si>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</si>
  <si>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</si>
  <si>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</si>
  <si>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</si>
  <si>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</si>
  <si>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</si>
  <si>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</si>
  <si>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</si>
  <si>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</si>
  <si>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</si>
  <si>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</si>
  <si>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</si>
  <si>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</si>
  <si>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</si>
  <si>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</si>
  <si>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</si>
  <si>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</si>
  <si>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</si>
  <si>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</si>
  <si>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</si>
  <si>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</si>
  <si>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</si>
  <si>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</si>
  <si>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</si>
  <si>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</si>
  <si>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</si>
  <si>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</si>
  <si>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</si>
  <si>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</si>
  <si>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</si>
  <si>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</si>
  <si>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</si>
  <si>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</si>
  <si>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</si>
  <si>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</si>
  <si>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</si>
  <si>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</si>
  <si>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</si>
  <si>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</si>
  <si>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</si>
  <si>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</si>
  <si>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</si>
  <si>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</si>
  <si>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</si>
  <si>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</si>
  <si>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</si>
  <si>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</si>
  <si>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</si>
  <si>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</si>
  <si>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</si>
  <si>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</si>
  <si>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</si>
  <si>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</si>
  <si>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</si>
  <si>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</si>
  <si>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</si>
  <si>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</si>
  <si>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</si>
  <si>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</si>
  <si>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</si>
  <si>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</si>
  <si>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</si>
  <si>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</si>
  <si>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</si>
  <si>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</si>
  <si>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</si>
  <si>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</si>
  <si>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</si>
  <si>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</si>
  <si>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</si>
  <si>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</si>
  <si>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</si>
  <si>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</si>
  <si>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</si>
  <si>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</si>
  <si>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</si>
  <si>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</si>
  <si>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</si>
  <si>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</si>
  <si>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</si>
  <si>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</si>
  <si>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</si>
  <si>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</si>
  <si>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</si>
  <si>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</si>
  <si>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</si>
  <si>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</si>
  <si>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</si>
  <si>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</si>
  <si>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</si>
  <si>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</si>
  <si>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</si>
  <si>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</si>
  <si>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</si>
  <si>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</si>
  <si>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</si>
  <si>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</si>
  <si>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</si>
  <si>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</si>
  <si>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</si>
  <si>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</si>
  <si>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</si>
  <si>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</si>
  <si>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</si>
  <si>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</si>
  <si>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</si>
  <si>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</si>
  <si>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</si>
  <si>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</si>
  <si>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</si>
  <si>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</si>
  <si>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</si>
  <si>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</si>
  <si>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</si>
  <si>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</si>
  <si>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</si>
  <si>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</si>
  <si>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</si>
  <si>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</si>
  <si>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</si>
  <si>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</si>
  <si>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</si>
  <si>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</si>
  <si>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</si>
  <si>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</si>
  <si>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</si>
  <si>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</si>
  <si>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</si>
  <si>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</si>
  <si>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</si>
  <si>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</si>
  <si>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</si>
  <si>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</si>
  <si>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</si>
  <si>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</si>
  <si>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</si>
  <si>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</si>
  <si>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</si>
  <si>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</si>
  <si>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</si>
  <si>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</si>
  <si>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</si>
  <si>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</si>
  <si>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</si>
  <si>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</si>
  <si>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</si>
  <si>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</si>
  <si>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</si>
  <si>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</si>
  <si>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</si>
  <si>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</si>
  <si>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</si>
  <si>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</si>
  <si>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</si>
  <si>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</si>
  <si>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</si>
  <si>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</si>
  <si>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</si>
  <si>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</si>
  <si>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</si>
  <si>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</si>
  <si>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</si>
  <si>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</si>
  <si>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</si>
  <si>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</si>
  <si>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</si>
  <si>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</si>
  <si>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</si>
  <si>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</si>
  <si>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</si>
  <si>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</si>
  <si>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</si>
  <si>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</si>
  <si>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</si>
  <si>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</si>
  <si>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</si>
  <si>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</si>
  <si>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</si>
  <si>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</si>
  <si>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</si>
  <si>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</si>
  <si>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</si>
  <si>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</si>
  <si>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</si>
  <si>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</si>
  <si>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</si>
  <si>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</si>
  <si>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</si>
  <si>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</si>
  <si>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</si>
  <si>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</si>
  <si>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</si>
  <si>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</si>
  <si>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</si>
  <si>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</si>
  <si>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</si>
  <si>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</si>
  <si>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</si>
  <si>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</si>
  <si>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</si>
  <si>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</si>
  <si>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</si>
  <si>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</si>
  <si>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</si>
  <si>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</si>
  <si>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</si>
  <si>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</si>
  <si>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</si>
  <si>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</si>
  <si>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</si>
  <si>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</si>
  <si>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</si>
  <si>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</si>
  <si>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</si>
  <si>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</si>
  <si>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</si>
  <si>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</si>
  <si>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</si>
  <si>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</si>
  <si>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</si>
  <si>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</si>
  <si>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</si>
  <si>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</si>
  <si>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</si>
  <si>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</si>
  <si>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</si>
  <si>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</si>
  <si>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</si>
  <si>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</si>
  <si>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</si>
  <si>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</si>
  <si>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</si>
  <si>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</si>
  <si>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</si>
  <si>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</si>
  <si>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</si>
  <si>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</si>
  <si>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</si>
  <si>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</si>
  <si>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</si>
  <si>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</si>
  <si>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</si>
  <si>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</si>
  <si>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</si>
  <si>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</si>
  <si>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</si>
  <si>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</si>
  <si>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</si>
  <si>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</si>
  <si>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</si>
  <si>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</si>
  <si>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</si>
  <si>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</si>
  <si>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</si>
  <si>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</si>
  <si>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</si>
  <si>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</si>
  <si>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</si>
  <si>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</si>
  <si>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</si>
  <si>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</si>
  <si>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</si>
  <si>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</si>
  <si>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</si>
  <si>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</si>
  <si>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</si>
  <si>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</si>
  <si>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</si>
  <si>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</si>
  <si>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</si>
  <si>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</si>
  <si>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</si>
  <si>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</si>
  <si>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</si>
  <si>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</si>
  <si>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</si>
  <si>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</si>
  <si>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</si>
  <si>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</si>
  <si>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</si>
  <si>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</si>
  <si>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</si>
  <si>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</si>
  <si>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</si>
  <si>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</si>
  <si>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</si>
  <si>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</si>
  <si>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</si>
  <si>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</si>
  <si>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</si>
  <si>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</si>
  <si>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</si>
  <si>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</si>
  <si>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</si>
  <si>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</si>
  <si>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</si>
  <si>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</si>
  <si>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</si>
  <si>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</si>
  <si>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</si>
  <si>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</si>
  <si>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</si>
  <si>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</si>
  <si>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</si>
  <si>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</si>
  <si>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</si>
  <si>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</si>
  <si>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</si>
  <si>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</si>
  <si>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</si>
  <si>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</si>
  <si>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</si>
  <si>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</si>
  <si>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</si>
  <si>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</si>
  <si>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</si>
  <si>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</si>
  <si>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</si>
  <si>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</si>
  <si>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</si>
  <si>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</si>
  <si>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</si>
  <si>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</si>
  <si>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</si>
  <si>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</si>
  <si>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</si>
  <si>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</si>
  <si>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</si>
  <si>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</si>
  <si>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</si>
  <si>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</si>
  <si>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</si>
  <si>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</si>
  <si>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</si>
  <si>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</si>
  <si>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</si>
  <si>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</si>
  <si>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</si>
  <si>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</si>
  <si>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</si>
  <si>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</si>
  <si>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</si>
  <si>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</si>
  <si>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</si>
  <si>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</si>
  <si>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</si>
  <si>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</si>
  <si>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</si>
  <si>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</si>
  <si>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</si>
  <si>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</si>
  <si>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</si>
  <si>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</si>
  <si>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</si>
  <si>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</si>
  <si>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</si>
  <si>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</si>
  <si>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</si>
  <si>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</si>
  <si>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</si>
  <si>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</si>
  <si>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</si>
  <si>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</si>
  <si>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</si>
  <si>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</si>
  <si>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</si>
  <si>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</si>
  <si>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</si>
  <si>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</si>
  <si>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</si>
  <si>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</si>
  <si>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</si>
  <si>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</si>
  <si>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</si>
  <si>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</si>
  <si>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</si>
  <si>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</si>
  <si>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</si>
  <si>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</si>
  <si>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</si>
  <si>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</si>
  <si>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</si>
  <si>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</si>
  <si>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</si>
  <si>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</si>
  <si>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</si>
  <si>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</si>
  <si>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</si>
  <si>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</si>
  <si>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</si>
  <si>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</si>
  <si>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</si>
  <si>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</si>
  <si>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</si>
  <si>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</si>
  <si>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</si>
  <si>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</si>
  <si>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</si>
  <si>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</si>
  <si>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</si>
  <si>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</si>
  <si>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</si>
  <si>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</si>
  <si>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</si>
  <si>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</si>
  <si>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</si>
  <si>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</si>
  <si>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</si>
  <si>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</si>
  <si>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</si>
  <si>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</si>
  <si>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</si>
  <si>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</si>
  <si>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</si>
  <si>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</si>
  <si>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</si>
  <si>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</si>
  <si>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</si>
  <si>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</si>
  <si>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</si>
  <si>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</si>
  <si>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</si>
  <si>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</si>
  <si>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</si>
  <si>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</si>
  <si>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</si>
  <si>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</si>
  <si>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</si>
  <si>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</si>
  <si>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</si>
  <si>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</si>
  <si>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</si>
  <si>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</si>
  <si>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</si>
  <si>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</si>
  <si>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</si>
  <si>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</si>
  <si>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</si>
  <si>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</si>
  <si>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</si>
  <si>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</si>
  <si>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</si>
  <si>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</si>
  <si>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</si>
  <si>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</si>
  <si>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</si>
  <si>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</si>
  <si>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</si>
  <si>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</si>
  <si>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</si>
  <si>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</si>
  <si>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</si>
  <si>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</si>
  <si>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</si>
  <si>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</si>
  <si>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</si>
  <si>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</si>
  <si>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</si>
  <si>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</si>
  <si>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</si>
  <si>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</si>
  <si>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</si>
  <si>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</si>
  <si>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</si>
  <si>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</si>
  <si>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</si>
  <si>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</si>
  <si>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</si>
  <si>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</si>
  <si>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</si>
  <si>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</si>
  <si>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</si>
  <si>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</si>
  <si>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</si>
  <si>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</si>
  <si>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</si>
  <si>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</si>
  <si>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</si>
  <si>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</si>
  <si>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</si>
  <si>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</si>
  <si>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</si>
  <si>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</si>
  <si>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</si>
  <si>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</si>
  <si>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</si>
  <si>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</si>
  <si>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</si>
  <si>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</si>
  <si>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</si>
  <si>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</si>
  <si>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</si>
  <si>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</si>
  <si>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</si>
  <si>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</si>
  <si>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</si>
  <si>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</si>
  <si>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</si>
  <si>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</si>
  <si>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</si>
  <si>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</si>
  <si>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</si>
  <si>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</si>
  <si>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</si>
  <si>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</si>
  <si>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</si>
  <si>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</si>
  <si>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</si>
  <si>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</si>
  <si>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</si>
  <si>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</si>
  <si>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</si>
  <si>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</si>
  <si>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</si>
  <si>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</si>
  <si>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</si>
  <si>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</si>
  <si>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</si>
  <si>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</si>
  <si>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</si>
  <si>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</si>
  <si>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</si>
  <si>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</si>
  <si>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</si>
  <si>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</si>
  <si>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</si>
  <si>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</si>
  <si>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</si>
  <si>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</si>
  <si>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</si>
  <si>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</si>
  <si>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</si>
  <si>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</si>
  <si>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</si>
  <si>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</si>
  <si>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</si>
  <si>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</si>
  <si>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</si>
  <si>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</si>
  <si>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</si>
  <si>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</si>
  <si>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</si>
  <si>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</si>
  <si>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</si>
  <si>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</si>
  <si>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</si>
  <si>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</si>
  <si>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</si>
  <si>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</si>
  <si>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</si>
  <si>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</si>
  <si>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</si>
  <si>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</si>
  <si>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</si>
  <si>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</si>
  <si>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Supervisor de Orçamento e Contas a Pagar</t>
  </si>
  <si>
    <t>1ª Reunião - Comitê Técnico Regulatório Commit &amp; Mitsui</t>
  </si>
  <si>
    <t>Técnico de Operacional de Operações</t>
  </si>
  <si>
    <t>SUBSTITUIÇÃO DE COLABORADOR EM PERÍODO DE FÉRIAS.</t>
  </si>
  <si>
    <t>reunião rio de janeiro GYPSUM</t>
  </si>
  <si>
    <t>SEMINÁRIO GÁS NATURAL - IBP - RIO DE JANEIRO.</t>
  </si>
  <si>
    <t>ASSISTENTE DO DTC</t>
  </si>
  <si>
    <t>SEMINÁRIO GÁS NATURAL IBP - RIO DE JANEIRO</t>
  </si>
  <si>
    <t>ASSISTENTE DO DAF</t>
  </si>
  <si>
    <t>VITOR DE ALMEIDA DINIZ</t>
  </si>
  <si>
    <t>COORDENADOR DE NOVOS NEGOCIOS</t>
  </si>
  <si>
    <t>REUNIÃO  ABEGÁS</t>
  </si>
  <si>
    <t>FELIPE VALENCA DE SOUSA</t>
  </si>
  <si>
    <t>REUNIÃO DIRETORIA COPERGÁS COM DIRETORI AMITSUI E COMMIT- RIO DE JANEIRO E SÃO PAULO</t>
  </si>
  <si>
    <t xml:space="preserve"> Energy Forum - IBP</t>
  </si>
  <si>
    <t>PROJETO BIOMETANO PETROLINA(PE)-JUAZEIRO(BA) COM TRAVESSIA DO RIO SAO FRANCISCO.</t>
  </si>
  <si>
    <t>AGENDA ANUAL DE VISITA AOS BANCOS - SP. REUNIÃO COMMIT</t>
  </si>
  <si>
    <t>GERENTE FINACEIRO</t>
  </si>
  <si>
    <t>Trata-se de viagem para reuniões em SP.</t>
  </si>
  <si>
    <t>CONFI - CONSELHO FISCAL</t>
  </si>
  <si>
    <t>ALYNE VALENTIM MUNIZ</t>
  </si>
  <si>
    <t>CONSELHO FISCAL</t>
  </si>
  <si>
    <t>REUNIÃO DO CONSELHO FISCAL</t>
  </si>
  <si>
    <t>BRUNO DO PRADO CASTILHO</t>
  </si>
  <si>
    <t>Referente viagem para reunião Copergás - EY</t>
  </si>
  <si>
    <t>SEMINARIO LEI DAS ESTATAIS aprovado na lnt</t>
  </si>
  <si>
    <t>VISITAS GYPSUM E NIAGRO</t>
  </si>
  <si>
    <t>Trata-se de viagem REC - SP - REC  a trabalho.</t>
  </si>
  <si>
    <t xml:space="preserve">curso Latam e Brazil Oil&amp;Gás Summit 2023 </t>
  </si>
  <si>
    <t>REUNIÃO PETROLINA</t>
  </si>
  <si>
    <t>REUNIÃO MINISTERIAL</t>
  </si>
  <si>
    <t>TECNICO OPERACIONAL SEGURANÇA DE TRABALHO</t>
  </si>
  <si>
    <t>Treinamento de integração de QSMS para as equipes das contratadas de Caruaru e Garanhuns: Engear, MW e Carplan.</t>
  </si>
  <si>
    <t>SÃO LUIZ</t>
  </si>
  <si>
    <t xml:space="preserve">New Fórum de Energia no Rio </t>
  </si>
  <si>
    <t>SUPERVISOR ORÇAMENTO E CONTAS A PAGAR</t>
  </si>
  <si>
    <t>PARTICIPAR DO RIO PIPELINE -RJ</t>
  </si>
  <si>
    <t>BRUNA TEIXEIRA MACIAS MOURY FERNANDES</t>
  </si>
  <si>
    <t>Workshop ESG Commit</t>
  </si>
  <si>
    <t>MANUELA MARANHAO DE AZEVEDO MELLO</t>
  </si>
  <si>
    <t>ACOMPANHAENTO CHEGADA NAVIO EM FERANDO DE NORONHA</t>
  </si>
  <si>
    <t>FERNANDO DE NORONHA</t>
  </si>
  <si>
    <t>REUNIÃO COM EMPRESA DE ENGENHARIA</t>
  </si>
  <si>
    <t>REUNIÃO FGV</t>
  </si>
  <si>
    <t xml:space="preserve">CONGRESSO ABRAMAN </t>
  </si>
  <si>
    <t>ISABELLE MIRANDA CESAR</t>
  </si>
  <si>
    <t>VISITA AO POLO GESSEIRO</t>
  </si>
  <si>
    <t>APRESENTAÇÃO 1ST PASS</t>
  </si>
  <si>
    <t>ABEGAS</t>
  </si>
  <si>
    <t>VISITA A PETROBRAS</t>
  </si>
  <si>
    <t>MEDIAÇÃO FGV</t>
  </si>
  <si>
    <t>TECNICO OPERACIONAL QSMS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</si>
  <si>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</si>
  <si>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</si>
  <si>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</si>
  <si>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</si>
  <si>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</si>
  <si>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ENGENHEIRA DE QSMS</t>
  </si>
  <si>
    <t>TREINAMENTO DE INTEGRAÇÃO DE CONTRATADAS</t>
  </si>
  <si>
    <t>REFRENTE VIAGEM PARA ABEGÁS EM MACEIÓ.</t>
  </si>
  <si>
    <t>LEGILMO MARCELO FONTES DE OLIVEIRA</t>
  </si>
  <si>
    <t>GERENTE DE TI</t>
  </si>
  <si>
    <t>SICOLOS &amp; COPERGÁS - CONVITE PARA O RPA &amp; IA CONGRESSO BA</t>
  </si>
  <si>
    <t>TECNICO OPERACIONAL DE OPERAÇÃO E SUPORTE DE REDE</t>
  </si>
  <si>
    <t>SUBSTITUIÇÃO EM FÉRIAS DO COLABORADOR HUGO DINIZ, LOTADO EM PETROLINA-PE.</t>
  </si>
  <si>
    <t>REUNIÃO COM O BANCO SAFRA E CAIXA ECONOMICA - SP / XIII CONGRESSO BRASILEIRO DA ABAR - SP</t>
  </si>
  <si>
    <t>SUPERVISOR FINANCEIRO</t>
  </si>
  <si>
    <t>BENCHMARKING SUPRIMENTO DE GN NA BAHIAGÁS</t>
  </si>
  <si>
    <t>CLEITON OLEGARIO DA SILVA</t>
  </si>
  <si>
    <t>SUPERVSIOR DE LOGISTICA</t>
  </si>
  <si>
    <t>VINICIUS MACEDO BEZERRA</t>
  </si>
  <si>
    <t>ENGENHEIRO DE OPERAÇÃO E SUPORTE DE REDE</t>
  </si>
  <si>
    <t>CGCR - COORDENADORIA DE GOV, CONFORM E RISCOS</t>
  </si>
  <si>
    <t>COORDENADOR DE GORVENANÇA, CONFORMIDADE E RISCOS</t>
  </si>
  <si>
    <t>VIAGEM PARA EXPOGESSO</t>
  </si>
  <si>
    <t>JUAZEIRO DO NORTE</t>
  </si>
  <si>
    <t>TIAGO LEVI DINIZ LIMA</t>
  </si>
  <si>
    <t>ASSISTENTE DO PRE</t>
  </si>
  <si>
    <t>TECNICO OPERACIONAL DE QSMS</t>
  </si>
  <si>
    <t>TREINAMENTO E INSPEÇÃO DE OBRA DA UNIFORTE (CONTRATO DTC 028/23).</t>
  </si>
  <si>
    <t>TREINAMENTO AVALIAÇÃO DOS 15 COMPROMISSOS DE SMS</t>
  </si>
  <si>
    <t>SUPERVISOR DE SEGMENTO INDUSTRIAL</t>
  </si>
  <si>
    <t>INTERNACIONAL</t>
  </si>
  <si>
    <t>ORLANDO</t>
  </si>
  <si>
    <t>GERENTE DE RH</t>
  </si>
  <si>
    <t xml:space="preserve">10º FÓRUM DE RH </t>
  </si>
  <si>
    <t>REGULATÓRIO - COMMIT</t>
  </si>
  <si>
    <t>PARTICIPAR DO  EVENTO - AGENDA TEMÁTICA XII SEMINÁRIO INTERNACIONAL FROTAS &amp; FRETES VERDES 2023.</t>
  </si>
  <si>
    <t>GIS DAY GÁS 2023</t>
  </si>
  <si>
    <t>ARARIPINA</t>
  </si>
  <si>
    <t xml:space="preserve">XII SEMINÁRIO FROTAS &amp; FRETES VERDES </t>
  </si>
  <si>
    <t>EVENTO REGULATÓRIO COMMIT/MITSUI - QUANTUM</t>
  </si>
  <si>
    <t>Avaliação dos 15 Compromissos de SMS</t>
  </si>
  <si>
    <t>PARTICIPAR DO  Evento - Agenda Temática XII Seminário Internacional Frotas &amp; Fretes Verdes 2023.</t>
  </si>
  <si>
    <t>GARTNER - IT Symposium - Xpo.2023 - October 16 - 19, 2023.</t>
  </si>
  <si>
    <t>Evento Regulatório Commit/Mitsui - Quantum</t>
  </si>
  <si>
    <t>ASSEMBLEIA GERAL E CONSELHO DE ADMINISTRAÇÃO - ABEGÁS.</t>
  </si>
  <si>
    <t>JOSÉ EUDES LIMA UCHOA</t>
  </si>
  <si>
    <t>COORDENADOR DA SECRETARIA GERAL</t>
  </si>
  <si>
    <t xml:space="preserve">Jantar de Confraternização dos Associados, a convite da COMMIT GÁS </t>
  </si>
  <si>
    <t>VISITA NA SCANIA E MWM</t>
  </si>
  <si>
    <t>REUNIÃO NORGÁS.</t>
  </si>
  <si>
    <t>Reunião GT Contabilidade</t>
  </si>
  <si>
    <t>VIAGEM FISCALIZAÇÃO DE OBRAS EM PETROLINA</t>
  </si>
  <si>
    <t>SUPERVISOR DO SEGMENTO INDUSTRIAL</t>
  </si>
  <si>
    <t>VISITA A CLIENTES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</si>
  <si>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</si>
  <si>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</si>
  <si>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</si>
  <si>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</si>
  <si>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</si>
  <si>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Gerente Comercial Veicular e Industrial</t>
  </si>
  <si>
    <t>FISCALIZAÇÃO DA OBRA DO BOLSÃO EM PEAD - UNIFORT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</si>
  <si>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</si>
  <si>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</si>
  <si>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</si>
  <si>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</si>
  <si>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ENGENHEIRO DE CONSTRUÇÃO E OBRA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</si>
  <si>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</si>
  <si>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</si>
  <si>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</si>
  <si>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</si>
  <si>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</si>
  <si>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</si>
  <si>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</si>
  <si>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</si>
  <si>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</si>
  <si>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</si>
  <si>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 xml:space="preserve"> participação NO Data &amp; Analytics (Gartner).</t>
  </si>
  <si>
    <t>BAHIA</t>
  </si>
  <si>
    <t>ABAR - participação II Encontro Nacional de agências reguladoras</t>
  </si>
  <si>
    <t>SUPERVISOR DE LOGISTICA DO GAS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</si>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</sst>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15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6" fontId="6" fillId="0" borderId="0" applyBorder="0" applyProtection="0"/>
    <xf numFmtId="0" fontId="3" fillId="0" borderId="0"/>
    <xf numFmtId="44" fontId="4" fillId="0" borderId="0" applyFont="0" applyFill="0" applyBorder="0" applyAlignment="0" applyProtection="0"/>
    <xf numFmtId="0" fontId="2" fillId="0" borderId="0"/>
  </cellStyleXfs>
  <cellXfs count="186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5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4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7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4" fontId="14" fillId="6" borderId="1" xfId="0" applyNumberFormat="1" applyFont="1" applyFill="1" applyBorder="1" applyAlignment="1">
      <alignment horizontal="center" vertical="center"/>
    </xf>
    <xf numFmtId="167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0" fontId="0" fillId="0" borderId="3" xfId="0" applyBorder="1"/>
    <xf numFmtId="164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44" fontId="14" fillId="6" borderId="1" xfId="7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2" fillId="0" borderId="0" xfId="8" applyAlignment="1">
      <alignment horizontal="center" vertical="center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44" fontId="0" fillId="0" borderId="0" xfId="0" applyNumberFormat="1"/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/>
    <xf numFmtId="0" fontId="0" fillId="9" borderId="0" xfId="0" applyFill="1"/>
    <xf numFmtId="164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7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4" fontId="14" fillId="6" borderId="5" xfId="0" applyNumberFormat="1" applyFont="1" applyFill="1" applyBorder="1" applyAlignment="1">
      <alignment horizontal="center" vertical="center"/>
    </xf>
    <xf numFmtId="164" fontId="14" fillId="6" borderId="6" xfId="0" applyNumberFormat="1" applyFont="1" applyFill="1" applyBorder="1" applyAlignment="1">
      <alignment horizontal="center" vertical="center"/>
    </xf>
    <xf numFmtId="167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168" fontId="14" fillId="6" borderId="3" xfId="0" applyNumberFormat="1" applyFont="1" applyFill="1" applyBorder="1" applyAlignment="1">
      <alignment horizontal="center" vertical="center"/>
    </xf>
    <xf numFmtId="167" fontId="14" fillId="6" borderId="15" xfId="0" applyNumberFormat="1" applyFont="1" applyFill="1" applyBorder="1" applyAlignment="1">
      <alignment horizontal="center" vertical="center"/>
    </xf>
    <xf numFmtId="164" fontId="14" fillId="6" borderId="17" xfId="0" applyNumberFormat="1" applyFont="1" applyFill="1" applyBorder="1" applyAlignment="1">
      <alignment horizontal="center" vertical="center"/>
    </xf>
    <xf numFmtId="164" fontId="14" fillId="6" borderId="15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4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44" fontId="14" fillId="6" borderId="5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164" fontId="14" fillId="6" borderId="3" xfId="0" applyNumberFormat="1" applyFont="1" applyFill="1" applyBorder="1" applyAlignment="1">
      <alignment horizontal="center" vertical="center"/>
    </xf>
    <xf numFmtId="164" fontId="14" fillId="6" borderId="9" xfId="0" applyNumberFormat="1" applyFont="1" applyFill="1" applyBorder="1" applyAlignment="1">
      <alignment horizontal="center" vertical="center"/>
    </xf>
    <xf numFmtId="164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7" fontId="14" fillId="6" borderId="3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4" fontId="14" fillId="6" borderId="5" xfId="0" applyNumberFormat="1" applyFont="1" applyFill="1" applyBorder="1" applyAlignment="1">
      <alignment horizontal="center" vertical="center"/>
    </xf>
    <xf numFmtId="164" fontId="14" fillId="6" borderId="6" xfId="0" applyNumberFormat="1" applyFont="1" applyFill="1" applyBorder="1" applyAlignment="1">
      <alignment horizontal="center" vertical="center"/>
    </xf>
    <xf numFmtId="167" fontId="14" fillId="6" borderId="5" xfId="0" applyNumberFormat="1" applyFont="1" applyFill="1" applyBorder="1" applyAlignment="1">
      <alignment horizontal="center" vertical="center"/>
    </xf>
    <xf numFmtId="167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8" fontId="14" fillId="6" borderId="3" xfId="0" applyNumberFormat="1" applyFont="1" applyFill="1" applyBorder="1" applyAlignment="1">
      <alignment horizontal="center" vertical="center"/>
    </xf>
    <xf numFmtId="167" fontId="14" fillId="6" borderId="15" xfId="0" applyNumberFormat="1" applyFont="1" applyFill="1" applyBorder="1" applyAlignment="1">
      <alignment horizontal="center" vertical="center"/>
    </xf>
    <xf numFmtId="167" fontId="14" fillId="6" borderId="16" xfId="0" applyNumberFormat="1" applyFont="1" applyFill="1" applyBorder="1" applyAlignment="1">
      <alignment horizontal="center" vertical="center"/>
    </xf>
    <xf numFmtId="164" fontId="14" fillId="6" borderId="12" xfId="0" applyNumberFormat="1" applyFont="1" applyFill="1" applyBorder="1" applyAlignment="1">
      <alignment horizontal="center" vertical="center"/>
    </xf>
    <xf numFmtId="164" fontId="14" fillId="6" borderId="17" xfId="0" applyNumberFormat="1" applyFont="1" applyFill="1" applyBorder="1" applyAlignment="1">
      <alignment horizontal="center" vertical="center"/>
    </xf>
    <xf numFmtId="164" fontId="14" fillId="6" borderId="18" xfId="0" applyNumberFormat="1" applyFont="1" applyFill="1" applyBorder="1" applyAlignment="1">
      <alignment horizontal="center" vertical="center"/>
    </xf>
    <xf numFmtId="164" fontId="14" fillId="6" borderId="15" xfId="0" applyNumberFormat="1" applyFont="1" applyFill="1" applyBorder="1" applyAlignment="1">
      <alignment horizontal="center" vertical="center"/>
    </xf>
    <xf numFmtId="164" fontId="14" fillId="6" borderId="16" xfId="0" applyNumberFormat="1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44" fontId="14" fillId="6" borderId="3" xfId="7" applyFont="1" applyFill="1" applyBorder="1" applyAlignment="1">
      <alignment horizontal="center" vertical="center" wrapText="1"/>
    </xf>
    <xf numFmtId="44" fontId="14" fillId="6" borderId="15" xfId="7" applyFont="1" applyFill="1" applyBorder="1" applyAlignment="1">
      <alignment horizontal="center" vertical="center" wrapText="1"/>
    </xf>
    <xf numFmtId="44" fontId="14" fillId="6" borderId="16" xfId="7" applyFont="1" applyFill="1" applyBorder="1" applyAlignment="1">
      <alignment horizontal="center" vertical="center" wrapText="1"/>
    </xf>
    <xf numFmtId="44" fontId="14" fillId="6" borderId="20" xfId="7" applyFont="1" applyFill="1" applyBorder="1" applyAlignment="1">
      <alignment horizontal="center" vertical="center" wrapText="1"/>
    </xf>
    <xf numFmtId="44" fontId="14" fillId="6" borderId="5" xfId="7" applyFont="1" applyFill="1" applyBorder="1" applyAlignment="1">
      <alignment horizontal="center" vertical="center" wrapText="1"/>
    </xf>
    <xf numFmtId="44" fontId="14" fillId="6" borderId="12" xfId="7" applyFont="1" applyFill="1" applyBorder="1" applyAlignment="1">
      <alignment horizontal="center" vertical="center" wrapText="1"/>
    </xf>
    <xf numFmtId="44" fontId="14" fillId="6" borderId="6" xfId="7" applyFont="1" applyFill="1" applyBorder="1" applyAlignment="1">
      <alignment horizontal="center" vertical="center" wrapText="1"/>
    </xf>
    <xf numFmtId="44" fontId="14" fillId="6" borderId="17" xfId="7" applyFont="1" applyFill="1" applyBorder="1" applyAlignment="1">
      <alignment horizontal="center" vertical="center" wrapText="1"/>
    </xf>
    <xf numFmtId="44" fontId="14" fillId="6" borderId="18" xfId="7" applyFont="1" applyFill="1" applyBorder="1" applyAlignment="1">
      <alignment horizontal="center" vertical="center" wrapText="1"/>
    </xf>
    <xf numFmtId="4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4" fontId="9" fillId="5" borderId="5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44" fontId="14" fillId="6" borderId="13" xfId="7" applyFont="1" applyFill="1" applyBorder="1" applyAlignment="1">
      <alignment horizontal="center" vertical="center" wrapText="1"/>
    </xf>
    <xf numFmtId="44" fontId="14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14" fillId="6" borderId="19" xfId="7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0" fontId="1" fillId="0" borderId="13" xfId="0" applyFont="1" applyBorder="1" applyAlignment="1">
      <alignment horizontal="center" vertical="center"/>
    </xf>
    <xf numFmtId="169" fontId="1" fillId="0" borderId="13" xfId="0" applyNumberFormat="1" applyFont="1" applyBorder="1" applyAlignment="1">
      <alignment horizontal="center" vertical="center"/>
    </xf>
    <xf numFmtId="169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42917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43252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8.2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43282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76">
        <f>1858.02/2</f>
        <v>929.01</v>
      </c>
      <c r="O20" s="76">
        <f>1858.02/2</f>
        <v>929.01</v>
      </c>
      <c r="P20" s="31">
        <f t="shared" si="0"/>
        <v>1858.02</v>
      </c>
      <c r="Q20" s="27">
        <v>0</v>
      </c>
      <c r="R20" s="31">
        <v>0</v>
      </c>
      <c r="S20" s="74">
        <v>0</v>
      </c>
      <c r="T20" s="76">
        <v>0</v>
      </c>
      <c r="U20" s="78">
        <f t="shared" si="1"/>
        <v>0</v>
      </c>
      <c r="V20" s="76">
        <f t="shared" si="2"/>
        <v>1858.02</v>
      </c>
      <c r="W20" s="76">
        <f t="shared" si="3"/>
        <v>1858.02</v>
      </c>
      <c r="X20" s="75"/>
    </row>
    <row r="21" spans="1:24" ht="25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68">
        <f>1271.33/2</f>
        <v>635.66499999999996</v>
      </c>
      <c r="O21" s="68">
        <f>1271.33/2</f>
        <v>635.66499999999996</v>
      </c>
      <c r="P21" s="40">
        <f t="shared" si="0"/>
        <v>1271.33</v>
      </c>
      <c r="Q21" s="27">
        <v>0</v>
      </c>
      <c r="R21" s="76">
        <v>0</v>
      </c>
      <c r="S21" s="74">
        <v>0</v>
      </c>
      <c r="T21" s="76">
        <v>0</v>
      </c>
      <c r="U21" s="78">
        <f t="shared" si="1"/>
        <v>0</v>
      </c>
      <c r="V21" s="76">
        <f>U21+P21</f>
        <v>1271.33</v>
      </c>
      <c r="W21" s="76">
        <f t="shared" si="3"/>
        <v>1271.33</v>
      </c>
      <c r="X21" s="39"/>
    </row>
    <row r="22" spans="1:24" ht="38.25" customHeight="1">
      <c r="A22" s="106" t="s">
        <v>272</v>
      </c>
      <c r="B22" s="106" t="s">
        <v>272</v>
      </c>
      <c r="C22" s="108" t="s">
        <v>79</v>
      </c>
      <c r="D22" s="102" t="s">
        <v>107</v>
      </c>
      <c r="E22" s="104" t="s">
        <v>80</v>
      </c>
      <c r="F22" s="106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68">
        <f>1406.06/2</f>
        <v>703.03</v>
      </c>
      <c r="O22" s="68"/>
      <c r="P22" s="40">
        <f t="shared" si="0"/>
        <v>703.03</v>
      </c>
      <c r="Q22" s="114">
        <v>0</v>
      </c>
      <c r="R22" s="110">
        <v>0</v>
      </c>
      <c r="S22" s="116">
        <v>0</v>
      </c>
      <c r="T22" s="110">
        <v>0</v>
      </c>
      <c r="U22" s="117">
        <f t="shared" si="1"/>
        <v>0</v>
      </c>
      <c r="V22" s="110">
        <f>P22+P23</f>
        <v>1406.06</v>
      </c>
      <c r="W22" s="111">
        <f t="shared" si="3"/>
        <v>1406.06</v>
      </c>
      <c r="X22" s="113"/>
    </row>
    <row r="23" spans="1:24" ht="38.25" customHeight="1">
      <c r="A23" s="107"/>
      <c r="B23" s="107"/>
      <c r="C23" s="109"/>
      <c r="D23" s="103"/>
      <c r="E23" s="105"/>
      <c r="F23" s="107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77"/>
      <c r="O23" s="77">
        <f>1406.06/2</f>
        <v>703.03</v>
      </c>
      <c r="P23" s="31">
        <f t="shared" si="0"/>
        <v>703.03</v>
      </c>
      <c r="Q23" s="115"/>
      <c r="R23" s="110"/>
      <c r="S23" s="116"/>
      <c r="T23" s="110"/>
      <c r="U23" s="117"/>
      <c r="V23" s="110"/>
      <c r="W23" s="112"/>
      <c r="X23" s="113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68">
        <f>1271.33/2</f>
        <v>635.66499999999996</v>
      </c>
      <c r="O24" s="68">
        <f>1271.33/2</f>
        <v>635.66499999999996</v>
      </c>
      <c r="P24" s="31">
        <f t="shared" si="0"/>
        <v>1271.33</v>
      </c>
      <c r="Q24" s="41">
        <v>0</v>
      </c>
      <c r="R24" s="68">
        <v>0</v>
      </c>
      <c r="S24" s="69">
        <v>0</v>
      </c>
      <c r="T24" s="68">
        <v>0</v>
      </c>
      <c r="U24" s="70">
        <f t="shared" si="1"/>
        <v>0</v>
      </c>
      <c r="V24" s="68">
        <f>P24+U24</f>
        <v>1271.33</v>
      </c>
      <c r="W24" s="68">
        <f t="shared" si="3"/>
        <v>1271.33</v>
      </c>
      <c r="X24" s="39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43313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43344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34" t="s">
        <v>253</v>
      </c>
      <c r="B10" s="34" t="s">
        <v>288</v>
      </c>
      <c r="C10" s="42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>
      <c r="A16" s="106" t="s">
        <v>253</v>
      </c>
      <c r="B16" s="106" t="s">
        <v>253</v>
      </c>
      <c r="C16" s="108" t="s">
        <v>320</v>
      </c>
      <c r="D16" s="102" t="s">
        <v>321</v>
      </c>
      <c r="E16" s="104" t="s">
        <v>78</v>
      </c>
      <c r="F16" s="106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124">
        <v>43356</v>
      </c>
      <c r="M16" s="124">
        <v>43357</v>
      </c>
      <c r="N16" s="31">
        <f>1465.14/2</f>
        <v>732.57</v>
      </c>
      <c r="O16" s="31"/>
      <c r="P16" s="120">
        <f>N16+O17</f>
        <v>1465.14</v>
      </c>
      <c r="Q16" s="108">
        <v>2</v>
      </c>
      <c r="R16" s="120">
        <v>120</v>
      </c>
      <c r="S16" s="108">
        <v>0</v>
      </c>
      <c r="T16" s="120">
        <v>0</v>
      </c>
      <c r="U16" s="122">
        <f t="shared" si="1"/>
        <v>240</v>
      </c>
      <c r="V16" s="120">
        <f t="shared" si="2"/>
        <v>1705.14</v>
      </c>
      <c r="W16" s="120">
        <f t="shared" si="3"/>
        <v>1705.14</v>
      </c>
      <c r="X16" s="118"/>
    </row>
    <row r="17" spans="1:24" ht="14.25">
      <c r="A17" s="107"/>
      <c r="B17" s="107"/>
      <c r="C17" s="109"/>
      <c r="D17" s="103"/>
      <c r="E17" s="105"/>
      <c r="F17" s="107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125"/>
      <c r="M17" s="125"/>
      <c r="N17" s="31"/>
      <c r="O17" s="31">
        <f>1465.14/2</f>
        <v>732.57</v>
      </c>
      <c r="P17" s="121"/>
      <c r="Q17" s="109"/>
      <c r="R17" s="121"/>
      <c r="S17" s="109"/>
      <c r="T17" s="121"/>
      <c r="U17" s="123"/>
      <c r="V17" s="121"/>
      <c r="W17" s="121"/>
      <c r="X17" s="119"/>
    </row>
    <row r="18" spans="1:24" ht="38.2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43374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253</v>
      </c>
      <c r="B10" s="34" t="s">
        <v>288</v>
      </c>
      <c r="C10" s="42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43405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>
      <c r="A20" s="34" t="s">
        <v>231</v>
      </c>
      <c r="B20" s="34" t="s">
        <v>231</v>
      </c>
      <c r="C20" s="74" t="s">
        <v>86</v>
      </c>
      <c r="D20" s="71" t="s">
        <v>77</v>
      </c>
      <c r="E20" s="20" t="s">
        <v>87</v>
      </c>
      <c r="F20" s="34" t="s">
        <v>381</v>
      </c>
      <c r="G20" s="30" t="s">
        <v>36</v>
      </c>
      <c r="H20" s="74" t="s">
        <v>37</v>
      </c>
      <c r="I20" s="74" t="s">
        <v>38</v>
      </c>
      <c r="J20" s="74" t="s">
        <v>39</v>
      </c>
      <c r="K20" s="76" t="s">
        <v>40</v>
      </c>
      <c r="L20" s="79">
        <v>43425</v>
      </c>
      <c r="M20" s="79">
        <v>43426</v>
      </c>
      <c r="N20" s="76">
        <v>894.66</v>
      </c>
      <c r="O20" s="76">
        <v>690.35</v>
      </c>
      <c r="P20" s="76">
        <f t="shared" si="0"/>
        <v>690.35</v>
      </c>
      <c r="Q20" s="74">
        <v>0</v>
      </c>
      <c r="R20" s="76">
        <v>0</v>
      </c>
      <c r="S20" s="74">
        <v>0</v>
      </c>
      <c r="T20" s="76">
        <v>0</v>
      </c>
      <c r="U20" s="78">
        <f t="shared" si="1"/>
        <v>0</v>
      </c>
      <c r="V20" s="76">
        <f t="shared" si="2"/>
        <v>690.35</v>
      </c>
      <c r="W20" s="76">
        <f t="shared" si="3"/>
        <v>690.35</v>
      </c>
      <c r="X20" s="75"/>
    </row>
    <row r="21" spans="1:24" ht="14.25">
      <c r="A21" s="131" t="s">
        <v>371</v>
      </c>
      <c r="B21" s="131" t="s">
        <v>371</v>
      </c>
      <c r="C21" s="116" t="s">
        <v>79</v>
      </c>
      <c r="D21" s="126" t="s">
        <v>77</v>
      </c>
      <c r="E21" s="127" t="s">
        <v>80</v>
      </c>
      <c r="F21" s="128" t="s">
        <v>382</v>
      </c>
      <c r="G21" s="129" t="s">
        <v>36</v>
      </c>
      <c r="H21" s="69" t="s">
        <v>37</v>
      </c>
      <c r="I21" s="69" t="s">
        <v>38</v>
      </c>
      <c r="J21" s="69" t="s">
        <v>39</v>
      </c>
      <c r="K21" s="68" t="s">
        <v>40</v>
      </c>
      <c r="L21" s="130">
        <v>43433</v>
      </c>
      <c r="M21" s="130">
        <v>43434</v>
      </c>
      <c r="N21" s="139">
        <f>1395.23/2</f>
        <v>697.61500000000001</v>
      </c>
      <c r="O21" s="137">
        <f>1395.23/2</f>
        <v>697.61500000000001</v>
      </c>
      <c r="P21" s="133">
        <f t="shared" si="0"/>
        <v>697.61500000000001</v>
      </c>
      <c r="Q21" s="116">
        <v>0</v>
      </c>
      <c r="R21" s="133">
        <v>0</v>
      </c>
      <c r="S21" s="116">
        <v>0</v>
      </c>
      <c r="T21" s="133">
        <v>0</v>
      </c>
      <c r="U21" s="134">
        <f t="shared" si="1"/>
        <v>0</v>
      </c>
      <c r="V21" s="120">
        <f t="shared" si="2"/>
        <v>697.61500000000001</v>
      </c>
      <c r="W21" s="137">
        <f t="shared" si="3"/>
        <v>697.61500000000001</v>
      </c>
      <c r="X21" s="130"/>
    </row>
    <row r="22" spans="1:24" ht="26.25" customHeight="1">
      <c r="A22" s="132"/>
      <c r="B22" s="132"/>
      <c r="C22" s="116"/>
      <c r="D22" s="126"/>
      <c r="E22" s="127"/>
      <c r="F22" s="128"/>
      <c r="G22" s="129"/>
      <c r="H22" s="69" t="s">
        <v>39</v>
      </c>
      <c r="I22" s="68" t="s">
        <v>40</v>
      </c>
      <c r="J22" s="69" t="s">
        <v>116</v>
      </c>
      <c r="K22" s="68" t="s">
        <v>117</v>
      </c>
      <c r="L22" s="130"/>
      <c r="M22" s="130"/>
      <c r="N22" s="140"/>
      <c r="O22" s="138"/>
      <c r="P22" s="133">
        <f t="shared" si="0"/>
        <v>0</v>
      </c>
      <c r="Q22" s="116"/>
      <c r="R22" s="133"/>
      <c r="S22" s="116"/>
      <c r="T22" s="133"/>
      <c r="U22" s="135"/>
      <c r="V22" s="136"/>
      <c r="W22" s="138"/>
      <c r="X22" s="130"/>
    </row>
    <row r="23" spans="1:24" ht="25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>
      <c r="A25" s="34" t="s">
        <v>253</v>
      </c>
      <c r="B25" s="34" t="s">
        <v>253</v>
      </c>
      <c r="C25" s="69" t="s">
        <v>320</v>
      </c>
      <c r="D25" s="86" t="s">
        <v>321</v>
      </c>
      <c r="E25" s="20" t="s">
        <v>343</v>
      </c>
      <c r="F25" s="88" t="s">
        <v>386</v>
      </c>
      <c r="G25" s="89" t="s">
        <v>36</v>
      </c>
      <c r="H25" s="69" t="s">
        <v>37</v>
      </c>
      <c r="I25" s="69" t="s">
        <v>38</v>
      </c>
      <c r="J25" s="27" t="s">
        <v>39</v>
      </c>
      <c r="K25" s="31" t="s">
        <v>40</v>
      </c>
      <c r="L25" s="80">
        <v>43433</v>
      </c>
      <c r="M25" s="80">
        <v>43437</v>
      </c>
      <c r="N25" s="85">
        <f>1239.42/2</f>
        <v>619.71</v>
      </c>
      <c r="O25" s="85">
        <f>1239.42/2</f>
        <v>619.71</v>
      </c>
      <c r="P25" s="82">
        <f t="shared" si="0"/>
        <v>619.71</v>
      </c>
      <c r="Q25" s="69">
        <v>2</v>
      </c>
      <c r="R25" s="82">
        <v>120</v>
      </c>
      <c r="S25" s="69">
        <v>0</v>
      </c>
      <c r="T25" s="82">
        <v>0</v>
      </c>
      <c r="U25" s="83">
        <f t="shared" si="1"/>
        <v>240</v>
      </c>
      <c r="V25" s="76">
        <f t="shared" si="2"/>
        <v>859.71</v>
      </c>
      <c r="W25" s="84">
        <f t="shared" si="3"/>
        <v>859.71</v>
      </c>
      <c r="X25" s="80"/>
    </row>
    <row r="26" spans="1:24" ht="25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88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43435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7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>
      <c r="A13" s="34" t="s">
        <v>231</v>
      </c>
      <c r="B13" s="34" t="s">
        <v>231</v>
      </c>
      <c r="C13" s="27" t="s">
        <v>86</v>
      </c>
      <c r="D13" s="7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>
      <c r="A15" s="34" t="s">
        <v>253</v>
      </c>
      <c r="B15" s="34" t="s">
        <v>253</v>
      </c>
      <c r="C15" s="27" t="s">
        <v>320</v>
      </c>
      <c r="D15" s="8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43466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8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>
      <c r="A19" s="34" t="s">
        <v>231</v>
      </c>
      <c r="B19" s="34" t="s">
        <v>231</v>
      </c>
      <c r="C19" s="41" t="s">
        <v>86</v>
      </c>
      <c r="D19" s="86" t="s">
        <v>77</v>
      </c>
      <c r="E19" s="43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43497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8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43525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44">
        <v>43544</v>
      </c>
      <c r="M10" s="4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44">
        <v>43543</v>
      </c>
      <c r="M11" s="4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86" t="s">
        <v>77</v>
      </c>
      <c r="E12" s="43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44">
        <v>43538</v>
      </c>
      <c r="M12" s="4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44">
        <v>43542</v>
      </c>
      <c r="M13" s="4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44">
        <v>43538</v>
      </c>
      <c r="M14" s="4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44">
        <v>43549</v>
      </c>
      <c r="M15" s="4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44">
        <v>43552</v>
      </c>
      <c r="M16" s="4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44">
        <v>43555</v>
      </c>
      <c r="M17" s="4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44">
        <v>43555</v>
      </c>
      <c r="M18" s="4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>
      <c r="A19" s="34" t="s">
        <v>253</v>
      </c>
      <c r="B19" s="34" t="s">
        <v>253</v>
      </c>
      <c r="C19" s="34" t="s">
        <v>320</v>
      </c>
      <c r="D19" s="8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44">
        <v>43555</v>
      </c>
      <c r="M19" s="4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42948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43556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253</v>
      </c>
      <c r="B10" s="34" t="s">
        <v>253</v>
      </c>
      <c r="C10" s="34" t="s">
        <v>320</v>
      </c>
      <c r="D10" s="8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44">
        <v>43583</v>
      </c>
      <c r="M10" s="44">
        <v>43584</v>
      </c>
      <c r="N10" s="45">
        <f>3836.32/2</f>
        <v>1918.16</v>
      </c>
      <c r="O10" s="45">
        <f>3836.32/2</f>
        <v>1918.16</v>
      </c>
      <c r="P10" s="45">
        <f>SUM(N10:O10)</f>
        <v>3836.32</v>
      </c>
      <c r="Q10" s="34">
        <v>2</v>
      </c>
      <c r="R10" s="45">
        <v>120</v>
      </c>
      <c r="S10" s="34">
        <v>0</v>
      </c>
      <c r="T10" s="45">
        <v>0</v>
      </c>
      <c r="U10" s="45">
        <f>(Q10*R10)+(S10*T10)</f>
        <v>240</v>
      </c>
      <c r="V10" s="45">
        <f>U10+P10</f>
        <v>4076.32</v>
      </c>
      <c r="W10" s="45">
        <f>V10</f>
        <v>4076.32</v>
      </c>
      <c r="X10" s="34"/>
    </row>
    <row r="11" spans="1:24" ht="38.25">
      <c r="A11" s="34" t="s">
        <v>253</v>
      </c>
      <c r="B11" s="34" t="s">
        <v>212</v>
      </c>
      <c r="C11" s="34" t="s">
        <v>387</v>
      </c>
      <c r="D11" s="8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44">
        <v>43562</v>
      </c>
      <c r="M11" s="44">
        <v>43564</v>
      </c>
      <c r="N11" s="45">
        <v>300</v>
      </c>
      <c r="O11" s="45">
        <v>300</v>
      </c>
      <c r="P11" s="45">
        <f t="shared" ref="P11:P16" si="0">SUM(N11:O11)</f>
        <v>600</v>
      </c>
      <c r="Q11" s="34">
        <v>3</v>
      </c>
      <c r="R11" s="45">
        <v>120</v>
      </c>
      <c r="S11" s="34">
        <v>0</v>
      </c>
      <c r="T11" s="45">
        <v>0</v>
      </c>
      <c r="U11" s="45">
        <f t="shared" ref="U11:U16" si="1">(Q11*R11)+(S11*T11)</f>
        <v>360</v>
      </c>
      <c r="V11" s="45">
        <f t="shared" ref="V11:V16" si="2">U11+P11</f>
        <v>960</v>
      </c>
      <c r="W11" s="45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8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44">
        <v>43564</v>
      </c>
      <c r="M12" s="44" t="s">
        <v>421</v>
      </c>
      <c r="N12" s="45">
        <f>2329.07/2</f>
        <v>1164.5350000000001</v>
      </c>
      <c r="O12" s="45">
        <f>2329.07/2</f>
        <v>1164.5350000000001</v>
      </c>
      <c r="P12" s="45">
        <f t="shared" si="0"/>
        <v>2329.0700000000002</v>
      </c>
      <c r="Q12" s="34">
        <v>2</v>
      </c>
      <c r="R12" s="45">
        <v>120</v>
      </c>
      <c r="S12" s="34">
        <v>0</v>
      </c>
      <c r="T12" s="45">
        <v>0</v>
      </c>
      <c r="U12" s="45">
        <f t="shared" si="1"/>
        <v>240</v>
      </c>
      <c r="V12" s="45">
        <f t="shared" si="2"/>
        <v>2569.0700000000002</v>
      </c>
      <c r="W12" s="45">
        <f t="shared" si="3"/>
        <v>2569.0700000000002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44">
        <v>43564</v>
      </c>
      <c r="M13" s="44" t="s">
        <v>421</v>
      </c>
      <c r="N13" s="45">
        <f>2329.08/2</f>
        <v>1164.54</v>
      </c>
      <c r="O13" s="45">
        <f>2329.08/2</f>
        <v>1164.54</v>
      </c>
      <c r="P13" s="45">
        <f t="shared" si="0"/>
        <v>2329.08</v>
      </c>
      <c r="Q13" s="34">
        <v>0</v>
      </c>
      <c r="R13" s="45">
        <v>0</v>
      </c>
      <c r="S13" s="34">
        <v>0</v>
      </c>
      <c r="T13" s="45">
        <v>0</v>
      </c>
      <c r="U13" s="45">
        <f t="shared" si="1"/>
        <v>0</v>
      </c>
      <c r="V13" s="45">
        <f t="shared" si="2"/>
        <v>2329.08</v>
      </c>
      <c r="W13" s="45">
        <f t="shared" si="3"/>
        <v>2329.08</v>
      </c>
      <c r="X13" s="34"/>
    </row>
    <row r="14" spans="1:24" ht="25.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44">
        <v>43578</v>
      </c>
      <c r="M14" s="44">
        <v>43581</v>
      </c>
      <c r="N14" s="45">
        <f>719.06/2</f>
        <v>359.53</v>
      </c>
      <c r="O14" s="45">
        <f>719.06/2</f>
        <v>359.53</v>
      </c>
      <c r="P14" s="45">
        <f t="shared" si="0"/>
        <v>719.06</v>
      </c>
      <c r="Q14" s="34">
        <v>4</v>
      </c>
      <c r="R14" s="45">
        <v>120</v>
      </c>
      <c r="S14" s="34">
        <v>0</v>
      </c>
      <c r="T14" s="45">
        <v>0</v>
      </c>
      <c r="U14" s="45">
        <f t="shared" si="1"/>
        <v>480</v>
      </c>
      <c r="V14" s="45">
        <f t="shared" si="2"/>
        <v>1199.06</v>
      </c>
      <c r="W14" s="45">
        <f t="shared" si="3"/>
        <v>1199.06</v>
      </c>
      <c r="X14" s="34"/>
    </row>
    <row r="15" spans="1:24" ht="25.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44">
        <v>43579</v>
      </c>
      <c r="M15" s="44">
        <v>43580</v>
      </c>
      <c r="N15" s="45">
        <f>2110.22/2</f>
        <v>1055.1099999999999</v>
      </c>
      <c r="O15" s="45">
        <f>2110.22/2</f>
        <v>1055.1099999999999</v>
      </c>
      <c r="P15" s="45">
        <f t="shared" si="0"/>
        <v>2110.2199999999998</v>
      </c>
      <c r="Q15" s="34">
        <v>4</v>
      </c>
      <c r="R15" s="45">
        <v>120</v>
      </c>
      <c r="S15" s="34">
        <v>0</v>
      </c>
      <c r="T15" s="45">
        <v>0</v>
      </c>
      <c r="U15" s="45">
        <f t="shared" si="1"/>
        <v>480</v>
      </c>
      <c r="V15" s="45">
        <f t="shared" si="2"/>
        <v>2590.2199999999998</v>
      </c>
      <c r="W15" s="45">
        <f t="shared" si="3"/>
        <v>2590.2199999999998</v>
      </c>
      <c r="X15" s="34"/>
    </row>
    <row r="16" spans="1:24" ht="25.5">
      <c r="A16" s="34" t="s">
        <v>253</v>
      </c>
      <c r="B16" s="34" t="s">
        <v>253</v>
      </c>
      <c r="C16" s="34" t="s">
        <v>320</v>
      </c>
      <c r="D16" s="8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44">
        <v>43583</v>
      </c>
      <c r="M16" s="44">
        <v>43584</v>
      </c>
      <c r="N16" s="45">
        <f>3836.32/2</f>
        <v>1918.16</v>
      </c>
      <c r="O16" s="45">
        <f>3836.32/2</f>
        <v>1918.16</v>
      </c>
      <c r="P16" s="45">
        <f t="shared" si="0"/>
        <v>3836.32</v>
      </c>
      <c r="Q16" s="34">
        <v>2</v>
      </c>
      <c r="R16" s="45">
        <v>120</v>
      </c>
      <c r="S16" s="34">
        <v>0</v>
      </c>
      <c r="T16" s="45">
        <v>0</v>
      </c>
      <c r="U16" s="45">
        <f t="shared" si="1"/>
        <v>240</v>
      </c>
      <c r="V16" s="45">
        <f t="shared" si="2"/>
        <v>4076.32</v>
      </c>
      <c r="W16" s="45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43586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44">
        <v>43611</v>
      </c>
      <c r="M10" s="44">
        <v>43614</v>
      </c>
      <c r="N10" s="45">
        <f>2265.52/2</f>
        <v>1132.76</v>
      </c>
      <c r="O10" s="45">
        <f>2265.52/2</f>
        <v>1132.76</v>
      </c>
      <c r="P10" s="45">
        <f>SUM(N10:O10)</f>
        <v>2265.52</v>
      </c>
      <c r="Q10" s="34">
        <v>8</v>
      </c>
      <c r="R10" s="45">
        <v>120</v>
      </c>
      <c r="S10" s="34">
        <v>0</v>
      </c>
      <c r="T10" s="45">
        <v>0</v>
      </c>
      <c r="U10" s="45">
        <f>(Q10*R10)+(S10*T10)</f>
        <v>960</v>
      </c>
      <c r="V10" s="45">
        <f>U10+P10</f>
        <v>3225.52</v>
      </c>
      <c r="W10" s="45">
        <f>V10</f>
        <v>3225.52</v>
      </c>
      <c r="X10" s="34"/>
    </row>
    <row r="11" spans="1:24" ht="25.5">
      <c r="A11" s="34" t="s">
        <v>231</v>
      </c>
      <c r="B11" s="34" t="s">
        <v>215</v>
      </c>
      <c r="C11" s="34" t="s">
        <v>58</v>
      </c>
      <c r="D11" s="8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44">
        <v>43591</v>
      </c>
      <c r="M11" s="44">
        <v>43592</v>
      </c>
      <c r="N11" s="45">
        <f>2280.83/2</f>
        <v>1140.415</v>
      </c>
      <c r="O11" s="45">
        <f>2280.83/2</f>
        <v>1140.415</v>
      </c>
      <c r="P11" s="45">
        <f t="shared" ref="P11:P22" si="0">SUM(N11:O11)</f>
        <v>2280.83</v>
      </c>
      <c r="Q11" s="34">
        <v>4</v>
      </c>
      <c r="R11" s="45">
        <v>120</v>
      </c>
      <c r="S11" s="34">
        <v>0</v>
      </c>
      <c r="T11" s="45">
        <v>0</v>
      </c>
      <c r="U11" s="45">
        <f t="shared" ref="U11:U22" si="1">(Q11*R11)+(S11*T11)</f>
        <v>480</v>
      </c>
      <c r="V11" s="45">
        <f t="shared" ref="V11:V22" si="2">U11+P11</f>
        <v>2760.83</v>
      </c>
      <c r="W11" s="45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44">
        <v>43591</v>
      </c>
      <c r="M12" s="44">
        <v>43591</v>
      </c>
      <c r="N12" s="45">
        <f>2151.98/2</f>
        <v>1075.99</v>
      </c>
      <c r="O12" s="45">
        <f>2151.98/2</f>
        <v>1075.99</v>
      </c>
      <c r="P12" s="45">
        <f t="shared" si="0"/>
        <v>2151.98</v>
      </c>
      <c r="Q12" s="34">
        <v>0</v>
      </c>
      <c r="R12" s="45">
        <v>0</v>
      </c>
      <c r="S12" s="34">
        <v>0</v>
      </c>
      <c r="T12" s="45">
        <v>0</v>
      </c>
      <c r="U12" s="45">
        <f t="shared" si="1"/>
        <v>0</v>
      </c>
      <c r="V12" s="45">
        <f t="shared" si="2"/>
        <v>2151.98</v>
      </c>
      <c r="W12" s="45">
        <f t="shared" si="3"/>
        <v>2151.98</v>
      </c>
      <c r="X12" s="34"/>
    </row>
    <row r="13" spans="1:24" ht="25.5">
      <c r="A13" s="34" t="s">
        <v>253</v>
      </c>
      <c r="B13" s="34" t="s">
        <v>253</v>
      </c>
      <c r="C13" s="34" t="s">
        <v>320</v>
      </c>
      <c r="D13" s="8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44">
        <v>43588</v>
      </c>
      <c r="M13" s="44">
        <v>43591</v>
      </c>
      <c r="N13" s="45">
        <f>2215.78/2</f>
        <v>1107.8900000000001</v>
      </c>
      <c r="O13" s="45">
        <f>2215.78/2</f>
        <v>1107.8900000000001</v>
      </c>
      <c r="P13" s="45">
        <f t="shared" si="0"/>
        <v>2215.7800000000002</v>
      </c>
      <c r="Q13" s="34">
        <v>1</v>
      </c>
      <c r="R13" s="45">
        <v>120</v>
      </c>
      <c r="S13" s="34">
        <v>0</v>
      </c>
      <c r="T13" s="45">
        <v>0</v>
      </c>
      <c r="U13" s="45">
        <f t="shared" si="1"/>
        <v>120</v>
      </c>
      <c r="V13" s="45">
        <f t="shared" si="2"/>
        <v>2335.7800000000002</v>
      </c>
      <c r="W13" s="45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44">
        <v>43605</v>
      </c>
      <c r="M14" s="44" t="s">
        <v>432</v>
      </c>
      <c r="N14" s="45">
        <f>3074.44/2</f>
        <v>1537.22</v>
      </c>
      <c r="O14" s="45">
        <f>3074.44/2</f>
        <v>1537.22</v>
      </c>
      <c r="P14" s="45">
        <f t="shared" si="0"/>
        <v>3074.44</v>
      </c>
      <c r="Q14" s="34">
        <v>0</v>
      </c>
      <c r="R14" s="45">
        <v>0</v>
      </c>
      <c r="S14" s="34">
        <v>0</v>
      </c>
      <c r="T14" s="45">
        <v>0</v>
      </c>
      <c r="U14" s="45">
        <f t="shared" si="1"/>
        <v>0</v>
      </c>
      <c r="V14" s="45">
        <f t="shared" si="2"/>
        <v>3074.44</v>
      </c>
      <c r="W14" s="45">
        <f t="shared" si="3"/>
        <v>3074.44</v>
      </c>
      <c r="X14" s="34"/>
    </row>
    <row r="15" spans="1:24" ht="5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44">
        <v>43606</v>
      </c>
      <c r="M15" s="44">
        <v>43608</v>
      </c>
      <c r="N15" s="45">
        <f>2076.08/2</f>
        <v>1038.04</v>
      </c>
      <c r="O15" s="45">
        <f>2076.08/2</f>
        <v>1038.04</v>
      </c>
      <c r="P15" s="45">
        <f t="shared" si="0"/>
        <v>2076.08</v>
      </c>
      <c r="Q15" s="34">
        <v>3</v>
      </c>
      <c r="R15" s="45">
        <v>120</v>
      </c>
      <c r="S15" s="34">
        <v>0</v>
      </c>
      <c r="T15" s="45">
        <v>0</v>
      </c>
      <c r="U15" s="45">
        <f t="shared" si="1"/>
        <v>360</v>
      </c>
      <c r="V15" s="45">
        <f t="shared" si="2"/>
        <v>2436.08</v>
      </c>
      <c r="W15" s="45">
        <f t="shared" si="3"/>
        <v>2436.08</v>
      </c>
      <c r="X15" s="34"/>
    </row>
    <row r="16" spans="1:24" ht="38.2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44">
        <v>43601</v>
      </c>
      <c r="M16" s="44">
        <v>43602</v>
      </c>
      <c r="N16" s="45">
        <f>2186.59/2</f>
        <v>1093.2950000000001</v>
      </c>
      <c r="O16" s="45">
        <f>2186.59/2</f>
        <v>1093.2950000000001</v>
      </c>
      <c r="P16" s="45">
        <f t="shared" si="0"/>
        <v>2186.59</v>
      </c>
      <c r="Q16" s="34">
        <v>0</v>
      </c>
      <c r="R16" s="45">
        <v>0</v>
      </c>
      <c r="S16" s="34">
        <v>0</v>
      </c>
      <c r="T16" s="45">
        <v>0</v>
      </c>
      <c r="U16" s="45">
        <f t="shared" si="1"/>
        <v>0</v>
      </c>
      <c r="V16" s="45">
        <f t="shared" si="2"/>
        <v>2186.59</v>
      </c>
      <c r="W16" s="45">
        <f t="shared" si="3"/>
        <v>2186.59</v>
      </c>
      <c r="X16" s="34"/>
    </row>
    <row r="17" spans="1:24" ht="25.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44">
        <v>43601</v>
      </c>
      <c r="M17" s="44">
        <v>43603</v>
      </c>
      <c r="N17" s="45">
        <f>2670.36/2</f>
        <v>1335.18</v>
      </c>
      <c r="O17" s="45">
        <f>2670.36/2</f>
        <v>1335.18</v>
      </c>
      <c r="P17" s="45">
        <f t="shared" si="0"/>
        <v>2670.36</v>
      </c>
      <c r="Q17" s="34">
        <v>0</v>
      </c>
      <c r="R17" s="45">
        <v>0</v>
      </c>
      <c r="S17" s="34">
        <v>0</v>
      </c>
      <c r="T17" s="45">
        <v>0</v>
      </c>
      <c r="U17" s="45">
        <f t="shared" si="1"/>
        <v>0</v>
      </c>
      <c r="V17" s="45">
        <f t="shared" si="2"/>
        <v>2670.36</v>
      </c>
      <c r="W17" s="45">
        <f t="shared" si="3"/>
        <v>2670.36</v>
      </c>
      <c r="X17" s="34"/>
    </row>
    <row r="18" spans="1:24" ht="25.5">
      <c r="A18" s="34" t="s">
        <v>231</v>
      </c>
      <c r="B18" s="34" t="s">
        <v>310</v>
      </c>
      <c r="C18" s="34" t="s">
        <v>439</v>
      </c>
      <c r="D18" s="8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44">
        <v>43611</v>
      </c>
      <c r="M18" s="44">
        <v>43613</v>
      </c>
      <c r="N18" s="45">
        <f>2291.13/2</f>
        <v>1145.5650000000001</v>
      </c>
      <c r="O18" s="45">
        <f>2291.13/2</f>
        <v>1145.5650000000001</v>
      </c>
      <c r="P18" s="45">
        <f t="shared" si="0"/>
        <v>2291.13</v>
      </c>
      <c r="Q18" s="34">
        <v>3</v>
      </c>
      <c r="R18" s="45">
        <v>120</v>
      </c>
      <c r="S18" s="34">
        <v>0</v>
      </c>
      <c r="T18" s="45">
        <v>0</v>
      </c>
      <c r="U18" s="45">
        <f t="shared" si="1"/>
        <v>360</v>
      </c>
      <c r="V18" s="45">
        <f t="shared" si="2"/>
        <v>2651.13</v>
      </c>
      <c r="W18" s="45">
        <f t="shared" si="3"/>
        <v>2651.13</v>
      </c>
      <c r="X18" s="34"/>
    </row>
    <row r="19" spans="1:24" ht="25.5">
      <c r="A19" s="34" t="s">
        <v>231</v>
      </c>
      <c r="B19" s="34" t="s">
        <v>310</v>
      </c>
      <c r="C19" s="34" t="s">
        <v>443</v>
      </c>
      <c r="D19" s="8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44">
        <v>43611</v>
      </c>
      <c r="M19" s="44">
        <v>43613</v>
      </c>
      <c r="N19" s="45">
        <f>2291.13/2</f>
        <v>1145.5650000000001</v>
      </c>
      <c r="O19" s="45">
        <f>2291.13/2</f>
        <v>1145.5650000000001</v>
      </c>
      <c r="P19" s="45">
        <f t="shared" si="0"/>
        <v>2291.13</v>
      </c>
      <c r="Q19" s="34">
        <v>3</v>
      </c>
      <c r="R19" s="45">
        <v>120</v>
      </c>
      <c r="S19" s="34">
        <v>0</v>
      </c>
      <c r="T19" s="45">
        <v>0</v>
      </c>
      <c r="U19" s="45">
        <f t="shared" si="1"/>
        <v>360</v>
      </c>
      <c r="V19" s="45">
        <f t="shared" si="2"/>
        <v>2651.13</v>
      </c>
      <c r="W19" s="45">
        <f t="shared" si="3"/>
        <v>2651.13</v>
      </c>
      <c r="X19" s="34"/>
    </row>
    <row r="20" spans="1:24" ht="25.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44">
        <v>43597</v>
      </c>
      <c r="M20" s="44">
        <v>43600</v>
      </c>
      <c r="N20" s="45">
        <f>2110.77/2</f>
        <v>1055.385</v>
      </c>
      <c r="O20" s="45">
        <f>2110.77/2</f>
        <v>1055.385</v>
      </c>
      <c r="P20" s="45">
        <f t="shared" si="0"/>
        <v>2110.77</v>
      </c>
      <c r="Q20" s="34">
        <v>3</v>
      </c>
      <c r="R20" s="45">
        <v>120</v>
      </c>
      <c r="S20" s="34">
        <v>0</v>
      </c>
      <c r="T20" s="45">
        <v>0</v>
      </c>
      <c r="U20" s="45">
        <f t="shared" si="1"/>
        <v>360</v>
      </c>
      <c r="V20" s="45">
        <f t="shared" si="2"/>
        <v>2470.77</v>
      </c>
      <c r="W20" s="45">
        <f t="shared" si="3"/>
        <v>2470.77</v>
      </c>
      <c r="X20" s="34"/>
    </row>
    <row r="21" spans="1:24" ht="38.2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44">
        <v>43600</v>
      </c>
      <c r="M21" s="44">
        <v>43602</v>
      </c>
      <c r="N21" s="45">
        <f>928.38/2</f>
        <v>464.19</v>
      </c>
      <c r="O21" s="45">
        <f>928.38/2</f>
        <v>464.19</v>
      </c>
      <c r="P21" s="45">
        <f t="shared" si="0"/>
        <v>928.38</v>
      </c>
      <c r="Q21" s="34">
        <v>6</v>
      </c>
      <c r="R21" s="45">
        <v>120</v>
      </c>
      <c r="S21" s="34">
        <v>0</v>
      </c>
      <c r="T21" s="45">
        <v>0</v>
      </c>
      <c r="U21" s="45">
        <f t="shared" si="1"/>
        <v>720</v>
      </c>
      <c r="V21" s="45">
        <f t="shared" si="2"/>
        <v>1648.38</v>
      </c>
      <c r="W21" s="45">
        <f t="shared" si="3"/>
        <v>1648.38</v>
      </c>
      <c r="X21" s="34"/>
    </row>
    <row r="22" spans="1:24" ht="25.5">
      <c r="A22" s="34" t="s">
        <v>253</v>
      </c>
      <c r="B22" s="34" t="s">
        <v>212</v>
      </c>
      <c r="C22" s="34" t="s">
        <v>387</v>
      </c>
      <c r="D22" s="8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44">
        <v>43588</v>
      </c>
      <c r="M22" s="44">
        <v>43591</v>
      </c>
      <c r="N22" s="45">
        <f>2215.77/2</f>
        <v>1107.885</v>
      </c>
      <c r="O22" s="45">
        <f>2215.77/2</f>
        <v>1107.885</v>
      </c>
      <c r="P22" s="45">
        <f t="shared" si="0"/>
        <v>2215.77</v>
      </c>
      <c r="Q22" s="34">
        <v>1</v>
      </c>
      <c r="R22" s="45">
        <v>120</v>
      </c>
      <c r="S22" s="34">
        <v>0</v>
      </c>
      <c r="T22" s="45">
        <v>0</v>
      </c>
      <c r="U22" s="45">
        <f t="shared" si="1"/>
        <v>120</v>
      </c>
      <c r="V22" s="45">
        <f t="shared" si="2"/>
        <v>2335.77</v>
      </c>
      <c r="W22" s="45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43617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14.2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44">
        <v>43620</v>
      </c>
      <c r="M10" s="44">
        <v>43622</v>
      </c>
      <c r="N10" s="45">
        <f>432/2</f>
        <v>216</v>
      </c>
      <c r="O10" s="45">
        <f>432/2</f>
        <v>216</v>
      </c>
      <c r="P10" s="45">
        <f>SUM(N10:O10)</f>
        <v>432</v>
      </c>
      <c r="Q10" s="34">
        <v>3</v>
      </c>
      <c r="R10" s="45">
        <v>120</v>
      </c>
      <c r="S10" s="34">
        <v>0</v>
      </c>
      <c r="T10" s="45">
        <v>0</v>
      </c>
      <c r="U10" s="45">
        <f>(Q10*R10)+(S10*T10)</f>
        <v>360</v>
      </c>
      <c r="V10" s="45">
        <f>U10+P10</f>
        <v>792</v>
      </c>
      <c r="W10" s="45">
        <f>V10</f>
        <v>792</v>
      </c>
      <c r="X10" s="34"/>
    </row>
    <row r="11" spans="1:24" ht="14.25">
      <c r="A11" s="34" t="s">
        <v>253</v>
      </c>
      <c r="B11" s="34" t="s">
        <v>253</v>
      </c>
      <c r="C11" s="34" t="s">
        <v>223</v>
      </c>
      <c r="D11" s="8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44">
        <v>43621</v>
      </c>
      <c r="M11" s="44">
        <v>43623</v>
      </c>
      <c r="N11" s="45">
        <f>1751.21/2</f>
        <v>875.60500000000002</v>
      </c>
      <c r="O11" s="45">
        <f>1751.21/2</f>
        <v>875.60500000000002</v>
      </c>
      <c r="P11" s="45">
        <f t="shared" ref="P11:P20" si="0">SUM(N11:O11)</f>
        <v>1751.21</v>
      </c>
      <c r="Q11" s="34">
        <v>0</v>
      </c>
      <c r="R11" s="45">
        <v>0</v>
      </c>
      <c r="S11" s="34">
        <v>0</v>
      </c>
      <c r="T11" s="45">
        <v>0</v>
      </c>
      <c r="U11" s="45">
        <f t="shared" ref="U11:U20" si="1">(Q11*R11)+(S11*T11)</f>
        <v>0</v>
      </c>
      <c r="V11" s="45">
        <f t="shared" ref="V11:V20" si="2">U11+P11</f>
        <v>1751.21</v>
      </c>
      <c r="W11" s="45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44">
        <v>43620</v>
      </c>
      <c r="M12" s="44">
        <v>43621</v>
      </c>
      <c r="N12" s="45">
        <f>1900.67/2</f>
        <v>950.33500000000004</v>
      </c>
      <c r="O12" s="45">
        <f>1900.67/2</f>
        <v>950.33500000000004</v>
      </c>
      <c r="P12" s="45">
        <f t="shared" si="0"/>
        <v>1900.67</v>
      </c>
      <c r="Q12" s="34"/>
      <c r="R12" s="45"/>
      <c r="S12" s="34"/>
      <c r="T12" s="45"/>
      <c r="U12" s="45">
        <f t="shared" si="1"/>
        <v>0</v>
      </c>
      <c r="V12" s="45">
        <f t="shared" si="2"/>
        <v>1900.67</v>
      </c>
      <c r="W12" s="45">
        <f t="shared" si="3"/>
        <v>1900.67</v>
      </c>
      <c r="X12" s="34"/>
    </row>
    <row r="13" spans="1:24" ht="25.5">
      <c r="A13" s="34" t="s">
        <v>231</v>
      </c>
      <c r="B13" s="34" t="s">
        <v>450</v>
      </c>
      <c r="C13" s="34" t="s">
        <v>451</v>
      </c>
      <c r="D13" s="8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44">
        <v>43628</v>
      </c>
      <c r="M13" s="44">
        <v>43629</v>
      </c>
      <c r="N13" s="45">
        <f>1928.98/2</f>
        <v>964.49</v>
      </c>
      <c r="O13" s="45">
        <f>1928.98/2</f>
        <v>964.49</v>
      </c>
      <c r="P13" s="45">
        <f t="shared" si="0"/>
        <v>1928.98</v>
      </c>
      <c r="Q13" s="34">
        <v>0</v>
      </c>
      <c r="R13" s="45">
        <v>0</v>
      </c>
      <c r="S13" s="34">
        <v>0</v>
      </c>
      <c r="T13" s="45">
        <v>0</v>
      </c>
      <c r="U13" s="45">
        <f t="shared" si="1"/>
        <v>0</v>
      </c>
      <c r="V13" s="45">
        <f t="shared" si="2"/>
        <v>1928.98</v>
      </c>
      <c r="W13" s="45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44">
        <v>43628</v>
      </c>
      <c r="M14" s="44">
        <v>43629</v>
      </c>
      <c r="N14" s="45">
        <f>1928.98/2</f>
        <v>964.49</v>
      </c>
      <c r="O14" s="45">
        <f>1928.98/2</f>
        <v>964.49</v>
      </c>
      <c r="P14" s="45">
        <f t="shared" si="0"/>
        <v>1928.98</v>
      </c>
      <c r="Q14" s="34">
        <v>0</v>
      </c>
      <c r="R14" s="45">
        <v>0</v>
      </c>
      <c r="S14" s="34">
        <v>0</v>
      </c>
      <c r="T14" s="45">
        <v>0</v>
      </c>
      <c r="U14" s="45">
        <f t="shared" si="1"/>
        <v>0</v>
      </c>
      <c r="V14" s="45">
        <f t="shared" si="2"/>
        <v>1928.98</v>
      </c>
      <c r="W14" s="45">
        <f t="shared" si="3"/>
        <v>1928.98</v>
      </c>
      <c r="X14" s="34"/>
    </row>
    <row r="15" spans="1:24" ht="25.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44">
        <v>43627</v>
      </c>
      <c r="M15" s="44">
        <v>43628</v>
      </c>
      <c r="N15" s="45">
        <f>1211.62/2</f>
        <v>605.80999999999995</v>
      </c>
      <c r="O15" s="45">
        <f>1211.62/2</f>
        <v>605.80999999999995</v>
      </c>
      <c r="P15" s="45">
        <f t="shared" si="0"/>
        <v>1211.6199999999999</v>
      </c>
      <c r="Q15" s="34">
        <v>0</v>
      </c>
      <c r="R15" s="45">
        <v>0</v>
      </c>
      <c r="S15" s="34">
        <v>0</v>
      </c>
      <c r="T15" s="45">
        <v>0</v>
      </c>
      <c r="U15" s="45">
        <f t="shared" si="1"/>
        <v>0</v>
      </c>
      <c r="V15" s="45">
        <f t="shared" si="2"/>
        <v>1211.6199999999999</v>
      </c>
      <c r="W15" s="45">
        <f t="shared" si="3"/>
        <v>1211.6199999999999</v>
      </c>
      <c r="X15" s="34"/>
    </row>
    <row r="16" spans="1:24" ht="25.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44">
        <v>43627</v>
      </c>
      <c r="M16" s="44">
        <v>43628</v>
      </c>
      <c r="N16" s="45">
        <f>1414.41/2</f>
        <v>707.20500000000004</v>
      </c>
      <c r="O16" s="45">
        <f>1414.41/2</f>
        <v>707.20500000000004</v>
      </c>
      <c r="P16" s="45">
        <f t="shared" si="0"/>
        <v>1414.41</v>
      </c>
      <c r="Q16" s="34">
        <v>2</v>
      </c>
      <c r="R16" s="45">
        <v>120</v>
      </c>
      <c r="S16" s="34">
        <v>0</v>
      </c>
      <c r="T16" s="45">
        <v>0</v>
      </c>
      <c r="U16" s="45">
        <f t="shared" si="1"/>
        <v>240</v>
      </c>
      <c r="V16" s="45">
        <f t="shared" si="2"/>
        <v>1654.41</v>
      </c>
      <c r="W16" s="45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44">
        <v>43627</v>
      </c>
      <c r="M17" s="44">
        <v>43628</v>
      </c>
      <c r="N17" s="45">
        <f>1379.41/2</f>
        <v>689.70500000000004</v>
      </c>
      <c r="O17" s="45">
        <f>1379.41/2</f>
        <v>689.70500000000004</v>
      </c>
      <c r="P17" s="45">
        <f t="shared" si="0"/>
        <v>1379.41</v>
      </c>
      <c r="Q17" s="34">
        <v>2</v>
      </c>
      <c r="R17" s="45">
        <v>120</v>
      </c>
      <c r="S17" s="34">
        <v>0</v>
      </c>
      <c r="T17" s="45">
        <v>0</v>
      </c>
      <c r="U17" s="45">
        <f t="shared" si="1"/>
        <v>240</v>
      </c>
      <c r="V17" s="45">
        <f t="shared" si="2"/>
        <v>1619.41</v>
      </c>
      <c r="W17" s="45">
        <f t="shared" si="3"/>
        <v>1619.41</v>
      </c>
      <c r="X17" s="34"/>
    </row>
    <row r="18" spans="1:24" ht="14.25">
      <c r="A18" s="34" t="s">
        <v>231</v>
      </c>
      <c r="B18" s="34" t="s">
        <v>221</v>
      </c>
      <c r="C18" s="34" t="s">
        <v>54</v>
      </c>
      <c r="D18" s="8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44">
        <v>43628</v>
      </c>
      <c r="M18" s="44">
        <v>43629</v>
      </c>
      <c r="N18" s="45">
        <f>2417.28/2</f>
        <v>1208.6400000000001</v>
      </c>
      <c r="O18" s="45">
        <f>2417.28/2</f>
        <v>1208.6400000000001</v>
      </c>
      <c r="P18" s="45">
        <f t="shared" si="0"/>
        <v>2417.2800000000002</v>
      </c>
      <c r="Q18" s="34">
        <v>4</v>
      </c>
      <c r="R18" s="45">
        <v>120</v>
      </c>
      <c r="S18" s="34">
        <v>0</v>
      </c>
      <c r="T18" s="45">
        <v>0</v>
      </c>
      <c r="U18" s="45">
        <f t="shared" si="1"/>
        <v>480</v>
      </c>
      <c r="V18" s="45">
        <f t="shared" si="2"/>
        <v>2897.28</v>
      </c>
      <c r="W18" s="45">
        <f t="shared" si="3"/>
        <v>2897.28</v>
      </c>
      <c r="X18" s="34"/>
    </row>
    <row r="19" spans="1:24" ht="25.5">
      <c r="A19" s="34" t="s">
        <v>371</v>
      </c>
      <c r="B19" s="34" t="s">
        <v>226</v>
      </c>
      <c r="C19" s="34" t="s">
        <v>206</v>
      </c>
      <c r="D19" s="8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44">
        <v>43641</v>
      </c>
      <c r="M19" s="44">
        <v>43643</v>
      </c>
      <c r="N19" s="45">
        <f>2390.88/2</f>
        <v>1195.44</v>
      </c>
      <c r="O19" s="45">
        <f>2390.88/2</f>
        <v>1195.44</v>
      </c>
      <c r="P19" s="45">
        <f t="shared" si="0"/>
        <v>2390.88</v>
      </c>
      <c r="Q19" s="34">
        <v>6</v>
      </c>
      <c r="R19" s="45">
        <v>120</v>
      </c>
      <c r="S19" s="34">
        <v>0</v>
      </c>
      <c r="T19" s="45">
        <v>0</v>
      </c>
      <c r="U19" s="45">
        <f t="shared" si="1"/>
        <v>720</v>
      </c>
      <c r="V19" s="45">
        <f t="shared" si="2"/>
        <v>3110.88</v>
      </c>
      <c r="W19" s="45">
        <f t="shared" si="3"/>
        <v>3110.88</v>
      </c>
      <c r="X19" s="34"/>
    </row>
    <row r="20" spans="1:24" ht="25.5">
      <c r="A20" s="34" t="s">
        <v>371</v>
      </c>
      <c r="B20" s="34" t="s">
        <v>371</v>
      </c>
      <c r="C20" s="73" t="s">
        <v>79</v>
      </c>
      <c r="D20" s="71"/>
      <c r="E20" s="72"/>
      <c r="F20" s="73" t="s">
        <v>453</v>
      </c>
      <c r="G20" s="73" t="s">
        <v>36</v>
      </c>
      <c r="H20" s="73" t="s">
        <v>37</v>
      </c>
      <c r="I20" s="73" t="s">
        <v>38</v>
      </c>
      <c r="J20" s="73" t="s">
        <v>39</v>
      </c>
      <c r="K20" s="73" t="s">
        <v>40</v>
      </c>
      <c r="L20" s="46">
        <v>43642</v>
      </c>
      <c r="M20" s="46">
        <v>43644</v>
      </c>
      <c r="N20" s="92">
        <f>1925.28/2</f>
        <v>962.64</v>
      </c>
      <c r="O20" s="92">
        <f>1925.28/2</f>
        <v>962.64</v>
      </c>
      <c r="P20" s="45">
        <f t="shared" si="0"/>
        <v>1925.28</v>
      </c>
      <c r="Q20" s="73">
        <v>0</v>
      </c>
      <c r="R20" s="92">
        <v>0</v>
      </c>
      <c r="S20" s="73">
        <v>0</v>
      </c>
      <c r="T20" s="92">
        <v>0</v>
      </c>
      <c r="U20" s="45">
        <f t="shared" si="1"/>
        <v>0</v>
      </c>
      <c r="V20" s="45">
        <f t="shared" si="2"/>
        <v>1925.28</v>
      </c>
      <c r="W20" s="45">
        <f t="shared" si="3"/>
        <v>1925.28</v>
      </c>
      <c r="X20" s="73"/>
    </row>
    <row r="21" spans="1:24" ht="14.25">
      <c r="A21" s="131" t="s">
        <v>253</v>
      </c>
      <c r="B21" s="131" t="s">
        <v>253</v>
      </c>
      <c r="C21" s="128" t="s">
        <v>320</v>
      </c>
      <c r="D21" s="126"/>
      <c r="E21" s="127"/>
      <c r="F21" s="128" t="s">
        <v>454</v>
      </c>
      <c r="G21" s="128" t="s">
        <v>36</v>
      </c>
      <c r="H21" s="88" t="s">
        <v>116</v>
      </c>
      <c r="I21" s="88" t="s">
        <v>117</v>
      </c>
      <c r="J21" s="88" t="s">
        <v>39</v>
      </c>
      <c r="K21" s="88" t="s">
        <v>40</v>
      </c>
      <c r="L21" s="47">
        <v>43629</v>
      </c>
      <c r="M21" s="47">
        <v>43630</v>
      </c>
      <c r="N21" s="142">
        <f>3129.35/2</f>
        <v>1564.675</v>
      </c>
      <c r="O21" s="142">
        <f>3129.35/2</f>
        <v>1564.675</v>
      </c>
      <c r="P21" s="142">
        <v>1925.28</v>
      </c>
      <c r="Q21" s="128">
        <v>2</v>
      </c>
      <c r="R21" s="142">
        <v>120</v>
      </c>
      <c r="S21" s="142">
        <v>0</v>
      </c>
      <c r="T21" s="142">
        <v>0</v>
      </c>
      <c r="U21" s="143">
        <f t="shared" ref="U21" si="4">(Q21*R21)+(S21*T21)</f>
        <v>240</v>
      </c>
      <c r="V21" s="146">
        <f t="shared" ref="V21" si="5">U21+P21</f>
        <v>2165.2799999999997</v>
      </c>
      <c r="W21" s="149">
        <f t="shared" si="3"/>
        <v>2165.2799999999997</v>
      </c>
      <c r="X21" s="142"/>
    </row>
    <row r="22" spans="1:24" ht="14.25">
      <c r="A22" s="141"/>
      <c r="B22" s="141"/>
      <c r="C22" s="128"/>
      <c r="D22" s="126"/>
      <c r="E22" s="127"/>
      <c r="F22" s="128"/>
      <c r="G22" s="128"/>
      <c r="H22" s="88" t="s">
        <v>39</v>
      </c>
      <c r="I22" s="88" t="s">
        <v>40</v>
      </c>
      <c r="J22" s="88" t="s">
        <v>127</v>
      </c>
      <c r="K22" s="88" t="s">
        <v>63</v>
      </c>
      <c r="L22" s="47">
        <v>43630</v>
      </c>
      <c r="M22" s="47">
        <v>43633</v>
      </c>
      <c r="N22" s="142"/>
      <c r="O22" s="142"/>
      <c r="P22" s="142"/>
      <c r="Q22" s="128"/>
      <c r="R22" s="142"/>
      <c r="S22" s="142"/>
      <c r="T22" s="142"/>
      <c r="U22" s="144"/>
      <c r="V22" s="147"/>
      <c r="W22" s="150"/>
      <c r="X22" s="142"/>
    </row>
    <row r="23" spans="1:24" ht="15" customHeight="1">
      <c r="A23" s="132"/>
      <c r="B23" s="132"/>
      <c r="C23" s="128"/>
      <c r="D23" s="126"/>
      <c r="E23" s="127"/>
      <c r="F23" s="128"/>
      <c r="G23" s="128"/>
      <c r="H23" s="88" t="s">
        <v>127</v>
      </c>
      <c r="I23" s="88" t="s">
        <v>63</v>
      </c>
      <c r="J23" s="88" t="s">
        <v>37</v>
      </c>
      <c r="K23" s="88" t="s">
        <v>38</v>
      </c>
      <c r="L23" s="47">
        <v>43633</v>
      </c>
      <c r="M23" s="47">
        <v>43633</v>
      </c>
      <c r="N23" s="142"/>
      <c r="O23" s="142"/>
      <c r="P23" s="142"/>
      <c r="Q23" s="128"/>
      <c r="R23" s="142"/>
      <c r="S23" s="142"/>
      <c r="T23" s="142"/>
      <c r="U23" s="145"/>
      <c r="V23" s="148"/>
      <c r="W23" s="151"/>
      <c r="X23" s="142"/>
    </row>
    <row r="24" spans="1:24" ht="45" customHeight="1">
      <c r="A24" s="34" t="s">
        <v>253</v>
      </c>
      <c r="B24" s="34" t="s">
        <v>322</v>
      </c>
      <c r="C24" s="34" t="s">
        <v>350</v>
      </c>
      <c r="D24" s="39"/>
      <c r="E24" s="39"/>
      <c r="F24" s="73" t="s">
        <v>455</v>
      </c>
      <c r="G24" s="73" t="s">
        <v>36</v>
      </c>
      <c r="H24" s="73" t="s">
        <v>37</v>
      </c>
      <c r="I24" s="73" t="s">
        <v>38</v>
      </c>
      <c r="J24" s="34" t="s">
        <v>39</v>
      </c>
      <c r="K24" s="34" t="s">
        <v>40</v>
      </c>
      <c r="L24" s="47">
        <v>43646</v>
      </c>
      <c r="M24" s="47">
        <v>43649</v>
      </c>
      <c r="N24" s="39">
        <f>1450.58/2</f>
        <v>725.29</v>
      </c>
      <c r="O24" s="39">
        <f>1450.58/2</f>
        <v>725.29</v>
      </c>
      <c r="P24" s="45">
        <f t="shared" ref="P24:P29" si="6">SUM(N24:O24)</f>
        <v>1450.58</v>
      </c>
      <c r="Q24" s="34">
        <v>4</v>
      </c>
      <c r="R24" s="45">
        <v>120</v>
      </c>
      <c r="S24" s="34">
        <v>0</v>
      </c>
      <c r="T24" s="45">
        <v>0</v>
      </c>
      <c r="U24" s="45">
        <f t="shared" ref="U24" si="7">(Q24*R24)+(S24*T24)</f>
        <v>480</v>
      </c>
      <c r="V24" s="45">
        <f t="shared" ref="V24" si="8">U24+P24</f>
        <v>1930.58</v>
      </c>
      <c r="W24" s="45">
        <f t="shared" ref="W24:W29" si="9">V24</f>
        <v>1930.58</v>
      </c>
      <c r="X24" s="39"/>
    </row>
    <row r="25" spans="1:24" ht="38.25">
      <c r="A25" s="34" t="s">
        <v>253</v>
      </c>
      <c r="B25" s="34" t="s">
        <v>322</v>
      </c>
      <c r="C25" s="34" t="s">
        <v>456</v>
      </c>
      <c r="D25" s="39"/>
      <c r="E25" s="39"/>
      <c r="F25" s="73" t="s">
        <v>455</v>
      </c>
      <c r="G25" s="73" t="s">
        <v>36</v>
      </c>
      <c r="H25" s="73" t="s">
        <v>37</v>
      </c>
      <c r="I25" s="73" t="s">
        <v>38</v>
      </c>
      <c r="J25" s="34" t="s">
        <v>39</v>
      </c>
      <c r="K25" s="34" t="s">
        <v>40</v>
      </c>
      <c r="L25" s="47">
        <v>43646</v>
      </c>
      <c r="M25" s="47">
        <v>43649</v>
      </c>
      <c r="N25" s="39">
        <f t="shared" ref="N25:O29" si="10">1450.58/2</f>
        <v>725.29</v>
      </c>
      <c r="O25" s="39">
        <f t="shared" si="10"/>
        <v>725.29</v>
      </c>
      <c r="P25" s="45">
        <f t="shared" si="6"/>
        <v>1450.58</v>
      </c>
      <c r="Q25" s="34">
        <v>4</v>
      </c>
      <c r="R25" s="45">
        <v>120</v>
      </c>
      <c r="S25" s="34">
        <v>2</v>
      </c>
      <c r="T25" s="45">
        <v>100</v>
      </c>
      <c r="U25" s="45">
        <f t="shared" ref="U25:U29" si="11">(Q25*R25)+(S25*T25)</f>
        <v>680</v>
      </c>
      <c r="V25" s="45">
        <f t="shared" ref="V25:V29" si="12">U25+P25</f>
        <v>2130.58</v>
      </c>
      <c r="W25" s="45">
        <f t="shared" si="9"/>
        <v>2130.58</v>
      </c>
      <c r="X25" s="39"/>
    </row>
    <row r="26" spans="1:24" ht="38.25">
      <c r="A26" s="34" t="s">
        <v>253</v>
      </c>
      <c r="B26" s="34" t="s">
        <v>322</v>
      </c>
      <c r="C26" s="34" t="s">
        <v>457</v>
      </c>
      <c r="D26" s="39"/>
      <c r="E26" s="39"/>
      <c r="F26" s="73" t="s">
        <v>455</v>
      </c>
      <c r="G26" s="73" t="s">
        <v>36</v>
      </c>
      <c r="H26" s="73" t="s">
        <v>37</v>
      </c>
      <c r="I26" s="73" t="s">
        <v>38</v>
      </c>
      <c r="J26" s="34" t="s">
        <v>39</v>
      </c>
      <c r="K26" s="34" t="s">
        <v>40</v>
      </c>
      <c r="L26" s="47">
        <v>43646</v>
      </c>
      <c r="M26" s="47">
        <v>43649</v>
      </c>
      <c r="N26" s="39">
        <f t="shared" si="10"/>
        <v>725.29</v>
      </c>
      <c r="O26" s="39">
        <f t="shared" si="10"/>
        <v>725.29</v>
      </c>
      <c r="P26" s="45">
        <f t="shared" si="6"/>
        <v>1450.58</v>
      </c>
      <c r="Q26" s="34">
        <v>4</v>
      </c>
      <c r="R26" s="45">
        <v>120</v>
      </c>
      <c r="S26" s="34">
        <v>2</v>
      </c>
      <c r="T26" s="45">
        <v>100</v>
      </c>
      <c r="U26" s="45">
        <f t="shared" si="11"/>
        <v>680</v>
      </c>
      <c r="V26" s="45">
        <f t="shared" si="12"/>
        <v>2130.58</v>
      </c>
      <c r="W26" s="45">
        <f t="shared" si="9"/>
        <v>2130.58</v>
      </c>
      <c r="X26" s="39"/>
    </row>
    <row r="27" spans="1:24" ht="38.25">
      <c r="A27" s="34" t="s">
        <v>253</v>
      </c>
      <c r="B27" s="34" t="s">
        <v>322</v>
      </c>
      <c r="C27" s="34" t="s">
        <v>458</v>
      </c>
      <c r="D27" s="39"/>
      <c r="E27" s="39"/>
      <c r="F27" s="73" t="s">
        <v>455</v>
      </c>
      <c r="G27" s="73" t="s">
        <v>36</v>
      </c>
      <c r="H27" s="73" t="s">
        <v>37</v>
      </c>
      <c r="I27" s="73" t="s">
        <v>38</v>
      </c>
      <c r="J27" s="34" t="s">
        <v>39</v>
      </c>
      <c r="K27" s="34" t="s">
        <v>40</v>
      </c>
      <c r="L27" s="47">
        <v>43646</v>
      </c>
      <c r="M27" s="47">
        <v>43649</v>
      </c>
      <c r="N27" s="39">
        <f t="shared" si="10"/>
        <v>725.29</v>
      </c>
      <c r="O27" s="39">
        <f t="shared" si="10"/>
        <v>725.29</v>
      </c>
      <c r="P27" s="45">
        <f t="shared" si="6"/>
        <v>1450.58</v>
      </c>
      <c r="Q27" s="34">
        <v>4</v>
      </c>
      <c r="R27" s="45">
        <v>120</v>
      </c>
      <c r="S27" s="34">
        <v>2</v>
      </c>
      <c r="T27" s="45">
        <v>100</v>
      </c>
      <c r="U27" s="45">
        <f t="shared" si="11"/>
        <v>680</v>
      </c>
      <c r="V27" s="45">
        <f t="shared" si="12"/>
        <v>2130.58</v>
      </c>
      <c r="W27" s="45">
        <f t="shared" si="9"/>
        <v>2130.58</v>
      </c>
      <c r="X27" s="39"/>
    </row>
    <row r="28" spans="1:24" ht="38.25">
      <c r="A28" s="34" t="s">
        <v>253</v>
      </c>
      <c r="B28" s="34" t="s">
        <v>288</v>
      </c>
      <c r="C28" s="34" t="s">
        <v>459</v>
      </c>
      <c r="D28" s="39"/>
      <c r="E28" s="39"/>
      <c r="F28" s="73" t="s">
        <v>455</v>
      </c>
      <c r="G28" s="73" t="s">
        <v>36</v>
      </c>
      <c r="H28" s="73" t="s">
        <v>37</v>
      </c>
      <c r="I28" s="73" t="s">
        <v>38</v>
      </c>
      <c r="J28" s="34" t="s">
        <v>39</v>
      </c>
      <c r="K28" s="34" t="s">
        <v>40</v>
      </c>
      <c r="L28" s="47">
        <v>43646</v>
      </c>
      <c r="M28" s="47">
        <v>43649</v>
      </c>
      <c r="N28" s="39">
        <f t="shared" si="10"/>
        <v>725.29</v>
      </c>
      <c r="O28" s="39">
        <f t="shared" si="10"/>
        <v>725.29</v>
      </c>
      <c r="P28" s="45">
        <f t="shared" si="6"/>
        <v>1450.58</v>
      </c>
      <c r="Q28" s="34">
        <v>4</v>
      </c>
      <c r="R28" s="45">
        <v>120</v>
      </c>
      <c r="S28" s="34">
        <v>2</v>
      </c>
      <c r="T28" s="45">
        <v>100</v>
      </c>
      <c r="U28" s="45">
        <f t="shared" si="11"/>
        <v>680</v>
      </c>
      <c r="V28" s="45">
        <f t="shared" si="12"/>
        <v>2130.58</v>
      </c>
      <c r="W28" s="45">
        <f t="shared" si="9"/>
        <v>2130.58</v>
      </c>
      <c r="X28" s="39"/>
    </row>
    <row r="29" spans="1:24" ht="38.25">
      <c r="A29" s="34" t="s">
        <v>253</v>
      </c>
      <c r="B29" s="34" t="s">
        <v>288</v>
      </c>
      <c r="C29" s="34" t="s">
        <v>378</v>
      </c>
      <c r="D29" s="39"/>
      <c r="E29" s="39"/>
      <c r="F29" s="88" t="s">
        <v>455</v>
      </c>
      <c r="G29" s="88" t="s">
        <v>36</v>
      </c>
      <c r="H29" s="88" t="s">
        <v>37</v>
      </c>
      <c r="I29" s="88" t="s">
        <v>38</v>
      </c>
      <c r="J29" s="34" t="s">
        <v>39</v>
      </c>
      <c r="K29" s="34" t="s">
        <v>40</v>
      </c>
      <c r="L29" s="47">
        <v>43646</v>
      </c>
      <c r="M29" s="47">
        <v>43649</v>
      </c>
      <c r="N29" s="39">
        <f t="shared" si="10"/>
        <v>725.29</v>
      </c>
      <c r="O29" s="39">
        <f t="shared" si="10"/>
        <v>725.29</v>
      </c>
      <c r="P29" s="45">
        <f t="shared" si="6"/>
        <v>1450.58</v>
      </c>
      <c r="Q29" s="34">
        <v>4</v>
      </c>
      <c r="R29" s="45">
        <v>120</v>
      </c>
      <c r="S29" s="34">
        <v>0</v>
      </c>
      <c r="T29" s="45">
        <v>0</v>
      </c>
      <c r="U29" s="45">
        <f t="shared" si="11"/>
        <v>480</v>
      </c>
      <c r="V29" s="45">
        <f t="shared" si="12"/>
        <v>1930.58</v>
      </c>
      <c r="W29" s="45">
        <f t="shared" si="9"/>
        <v>1930.58</v>
      </c>
      <c r="X29" s="39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50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48">
        <v>43586</v>
      </c>
    </row>
    <row r="6" spans="1:47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7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47" s="39" customFormat="1" ht="25.5">
      <c r="A10" s="88" t="s">
        <v>371</v>
      </c>
      <c r="B10" s="97" t="s">
        <v>240</v>
      </c>
      <c r="C10" s="97" t="s">
        <v>448</v>
      </c>
      <c r="D10" s="29" t="s">
        <v>460</v>
      </c>
      <c r="E10" s="20" t="s">
        <v>60</v>
      </c>
      <c r="F10" s="88" t="s">
        <v>461</v>
      </c>
      <c r="G10" s="88" t="s">
        <v>36</v>
      </c>
      <c r="H10" s="88" t="s">
        <v>37</v>
      </c>
      <c r="I10" s="88" t="s">
        <v>38</v>
      </c>
      <c r="J10" s="88" t="s">
        <v>148</v>
      </c>
      <c r="K10" s="88" t="s">
        <v>183</v>
      </c>
      <c r="L10" s="47">
        <v>43691</v>
      </c>
      <c r="M10" s="47">
        <v>43693</v>
      </c>
      <c r="N10" s="90">
        <f>1303.98/2</f>
        <v>651.99</v>
      </c>
      <c r="O10" s="90">
        <f>1303.98/2</f>
        <v>651.99</v>
      </c>
      <c r="P10" s="90">
        <f t="shared" ref="P10:P18" si="0">SUM(N10:O10)</f>
        <v>1303.98</v>
      </c>
      <c r="Q10" s="88">
        <v>3</v>
      </c>
      <c r="R10" s="90">
        <v>120</v>
      </c>
      <c r="S10" s="88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8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49"/>
    </row>
    <row r="11" spans="1:47" s="39" customFormat="1" ht="25.5">
      <c r="A11" s="88" t="s">
        <v>371</v>
      </c>
      <c r="B11" s="97" t="s">
        <v>240</v>
      </c>
      <c r="C11" s="97" t="s">
        <v>140</v>
      </c>
      <c r="D11" s="29" t="s">
        <v>141</v>
      </c>
      <c r="E11" s="20" t="s">
        <v>411</v>
      </c>
      <c r="F11" s="88" t="s">
        <v>461</v>
      </c>
      <c r="G11" s="88" t="s">
        <v>36</v>
      </c>
      <c r="H11" s="88" t="s">
        <v>37</v>
      </c>
      <c r="I11" s="88" t="s">
        <v>38</v>
      </c>
      <c r="J11" s="88" t="s">
        <v>148</v>
      </c>
      <c r="K11" s="88" t="s">
        <v>183</v>
      </c>
      <c r="L11" s="47">
        <v>43691</v>
      </c>
      <c r="M11" s="47">
        <v>43693</v>
      </c>
      <c r="N11" s="90">
        <f>1390.68/2</f>
        <v>695.34</v>
      </c>
      <c r="O11" s="90">
        <f>1390.68/2</f>
        <v>695.34</v>
      </c>
      <c r="P11" s="90">
        <f t="shared" si="0"/>
        <v>1390.68</v>
      </c>
      <c r="Q11" s="88">
        <v>4</v>
      </c>
      <c r="R11" s="90">
        <v>120</v>
      </c>
      <c r="S11" s="88">
        <v>3</v>
      </c>
      <c r="T11" s="90">
        <v>100</v>
      </c>
      <c r="U11" s="90">
        <f t="shared" ref="U11:U20" si="1">(Q11*R11)+(S11*T11)</f>
        <v>780</v>
      </c>
      <c r="V11" s="90">
        <f t="shared" ref="V11:V18" si="2">U11+P11</f>
        <v>2170.6800000000003</v>
      </c>
      <c r="W11" s="90">
        <f t="shared" ref="W11:W37" si="3">V11</f>
        <v>2170.6800000000003</v>
      </c>
      <c r="X11" s="88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49"/>
    </row>
    <row r="12" spans="1:47" s="39" customFormat="1" ht="25.5">
      <c r="A12" s="88" t="s">
        <v>231</v>
      </c>
      <c r="B12" s="97" t="s">
        <v>221</v>
      </c>
      <c r="C12" s="97" t="s">
        <v>54</v>
      </c>
      <c r="D12" s="29" t="s">
        <v>88</v>
      </c>
      <c r="E12" s="20" t="s">
        <v>55</v>
      </c>
      <c r="F12" s="88" t="s">
        <v>461</v>
      </c>
      <c r="G12" s="88" t="s">
        <v>36</v>
      </c>
      <c r="H12" s="88" t="s">
        <v>37</v>
      </c>
      <c r="I12" s="88" t="s">
        <v>38</v>
      </c>
      <c r="J12" s="88" t="s">
        <v>148</v>
      </c>
      <c r="K12" s="88" t="s">
        <v>183</v>
      </c>
      <c r="L12" s="47">
        <v>43691</v>
      </c>
      <c r="M12" s="47">
        <v>43693</v>
      </c>
      <c r="N12" s="90">
        <f>1319.68/2</f>
        <v>659.84</v>
      </c>
      <c r="O12" s="90">
        <f>1319.68/2</f>
        <v>659.84</v>
      </c>
      <c r="P12" s="90">
        <f t="shared" si="0"/>
        <v>1319.68</v>
      </c>
      <c r="Q12" s="88">
        <v>5</v>
      </c>
      <c r="R12" s="90">
        <v>120</v>
      </c>
      <c r="S12" s="88">
        <v>0</v>
      </c>
      <c r="T12" s="90">
        <v>0</v>
      </c>
      <c r="U12" s="90">
        <f t="shared" si="1"/>
        <v>600</v>
      </c>
      <c r="V12" s="90">
        <f t="shared" si="2"/>
        <v>1919.68</v>
      </c>
      <c r="W12" s="90">
        <f t="shared" si="3"/>
        <v>1919.68</v>
      </c>
      <c r="X12" s="88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49"/>
    </row>
    <row r="13" spans="1:47" s="39" customFormat="1" ht="38.25">
      <c r="A13" s="88" t="s">
        <v>231</v>
      </c>
      <c r="B13" s="97" t="s">
        <v>462</v>
      </c>
      <c r="C13" s="97" t="s">
        <v>401</v>
      </c>
      <c r="D13" s="86" t="s">
        <v>402</v>
      </c>
      <c r="E13" s="87" t="s">
        <v>403</v>
      </c>
      <c r="F13" s="88" t="s">
        <v>463</v>
      </c>
      <c r="G13" s="88" t="s">
        <v>36</v>
      </c>
      <c r="H13" s="88" t="s">
        <v>37</v>
      </c>
      <c r="I13" s="88" t="s">
        <v>38</v>
      </c>
      <c r="J13" s="88" t="s">
        <v>464</v>
      </c>
      <c r="K13" s="88" t="s">
        <v>425</v>
      </c>
      <c r="L13" s="47">
        <v>43695</v>
      </c>
      <c r="M13" s="47">
        <v>43698</v>
      </c>
      <c r="N13" s="90">
        <f>1365.72/2</f>
        <v>682.86</v>
      </c>
      <c r="O13" s="90">
        <f>1365.72/2</f>
        <v>682.86</v>
      </c>
      <c r="P13" s="90">
        <f t="shared" si="0"/>
        <v>1365.72</v>
      </c>
      <c r="Q13" s="88">
        <v>4</v>
      </c>
      <c r="R13" s="90">
        <v>120</v>
      </c>
      <c r="S13" s="88">
        <v>0</v>
      </c>
      <c r="T13" s="90">
        <v>0</v>
      </c>
      <c r="U13" s="90">
        <f t="shared" si="1"/>
        <v>480</v>
      </c>
      <c r="V13" s="90">
        <f t="shared" si="2"/>
        <v>1845.72</v>
      </c>
      <c r="W13" s="90">
        <f t="shared" si="3"/>
        <v>1845.72</v>
      </c>
      <c r="X13" s="88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49"/>
    </row>
    <row r="14" spans="1:47" s="39" customFormat="1" ht="25.5">
      <c r="A14" s="88" t="s">
        <v>231</v>
      </c>
      <c r="B14" s="97" t="s">
        <v>229</v>
      </c>
      <c r="C14" s="97" t="s">
        <v>246</v>
      </c>
      <c r="D14" s="86" t="s">
        <v>247</v>
      </c>
      <c r="E14" s="87" t="s">
        <v>341</v>
      </c>
      <c r="F14" s="88" t="s">
        <v>465</v>
      </c>
      <c r="G14" s="88" t="s">
        <v>36</v>
      </c>
      <c r="H14" s="88" t="s">
        <v>37</v>
      </c>
      <c r="I14" s="88" t="s">
        <v>38</v>
      </c>
      <c r="J14" s="88" t="s">
        <v>39</v>
      </c>
      <c r="K14" s="88" t="s">
        <v>40</v>
      </c>
      <c r="L14" s="47">
        <v>43684</v>
      </c>
      <c r="M14" s="47">
        <v>43686</v>
      </c>
      <c r="N14" s="90">
        <f>1242.89/2</f>
        <v>621.44500000000005</v>
      </c>
      <c r="O14" s="90">
        <f>1242.89/2</f>
        <v>621.44500000000005</v>
      </c>
      <c r="P14" s="90">
        <f t="shared" si="0"/>
        <v>1242.8900000000001</v>
      </c>
      <c r="Q14" s="88">
        <v>3</v>
      </c>
      <c r="R14" s="90">
        <v>120</v>
      </c>
      <c r="S14" s="88">
        <v>2</v>
      </c>
      <c r="T14" s="90">
        <v>100</v>
      </c>
      <c r="U14" s="90">
        <f t="shared" si="1"/>
        <v>560</v>
      </c>
      <c r="V14" s="90">
        <f t="shared" si="2"/>
        <v>1802.89</v>
      </c>
      <c r="W14" s="90">
        <f t="shared" si="3"/>
        <v>1802.89</v>
      </c>
      <c r="X14" s="88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49"/>
    </row>
    <row r="15" spans="1:47" s="39" customFormat="1" ht="25.5">
      <c r="A15" s="88" t="s">
        <v>371</v>
      </c>
      <c r="B15" s="97" t="s">
        <v>396</v>
      </c>
      <c r="C15" s="97" t="s">
        <v>466</v>
      </c>
      <c r="D15" s="86" t="s">
        <v>467</v>
      </c>
      <c r="E15" s="87" t="s">
        <v>468</v>
      </c>
      <c r="F15" s="88" t="s">
        <v>469</v>
      </c>
      <c r="G15" s="88" t="s">
        <v>36</v>
      </c>
      <c r="H15" s="88" t="s">
        <v>37</v>
      </c>
      <c r="I15" s="88" t="s">
        <v>38</v>
      </c>
      <c r="J15" s="88" t="s">
        <v>148</v>
      </c>
      <c r="K15" s="88" t="s">
        <v>183</v>
      </c>
      <c r="L15" s="47">
        <v>43683</v>
      </c>
      <c r="M15" s="47">
        <v>43685</v>
      </c>
      <c r="N15" s="90">
        <f>1522.25/2</f>
        <v>761.125</v>
      </c>
      <c r="O15" s="90">
        <f>1522.25/2</f>
        <v>761.125</v>
      </c>
      <c r="P15" s="90">
        <f t="shared" si="0"/>
        <v>1522.25</v>
      </c>
      <c r="Q15" s="88">
        <v>3</v>
      </c>
      <c r="R15" s="90">
        <v>120</v>
      </c>
      <c r="S15" s="88">
        <v>0</v>
      </c>
      <c r="T15" s="90">
        <v>0</v>
      </c>
      <c r="U15" s="90">
        <f t="shared" si="1"/>
        <v>360</v>
      </c>
      <c r="V15" s="90">
        <f t="shared" si="2"/>
        <v>1882.25</v>
      </c>
      <c r="W15" s="90">
        <f t="shared" si="3"/>
        <v>1882.25</v>
      </c>
      <c r="X15" s="88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49"/>
    </row>
    <row r="16" spans="1:47" s="39" customFormat="1" ht="38.25">
      <c r="A16" s="88" t="s">
        <v>371</v>
      </c>
      <c r="B16" s="97" t="s">
        <v>371</v>
      </c>
      <c r="C16" s="97" t="s">
        <v>79</v>
      </c>
      <c r="D16" s="29" t="s">
        <v>77</v>
      </c>
      <c r="E16" s="20" t="s">
        <v>80</v>
      </c>
      <c r="F16" s="88" t="s">
        <v>470</v>
      </c>
      <c r="G16" s="88" t="s">
        <v>36</v>
      </c>
      <c r="H16" s="88" t="s">
        <v>37</v>
      </c>
      <c r="I16" s="88" t="s">
        <v>38</v>
      </c>
      <c r="J16" s="88" t="s">
        <v>39</v>
      </c>
      <c r="K16" s="88" t="s">
        <v>40</v>
      </c>
      <c r="L16" s="47">
        <v>43697</v>
      </c>
      <c r="M16" s="47">
        <v>43698</v>
      </c>
      <c r="N16" s="90">
        <f>1321.79/2</f>
        <v>660.89499999999998</v>
      </c>
      <c r="O16" s="90">
        <f>1321.79/2</f>
        <v>660.89499999999998</v>
      </c>
      <c r="P16" s="90">
        <f t="shared" si="0"/>
        <v>1321.79</v>
      </c>
      <c r="Q16" s="88">
        <v>0</v>
      </c>
      <c r="R16" s="90">
        <v>0</v>
      </c>
      <c r="S16" s="88">
        <v>0</v>
      </c>
      <c r="T16" s="90">
        <v>0</v>
      </c>
      <c r="U16" s="90">
        <f t="shared" si="1"/>
        <v>0</v>
      </c>
      <c r="V16" s="90">
        <f t="shared" si="2"/>
        <v>1321.79</v>
      </c>
      <c r="W16" s="90">
        <f t="shared" si="3"/>
        <v>1321.79</v>
      </c>
      <c r="X16" s="88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49"/>
    </row>
    <row r="17" spans="1:47" s="39" customFormat="1" ht="38.25">
      <c r="A17" s="88" t="s">
        <v>371</v>
      </c>
      <c r="B17" s="97" t="s">
        <v>226</v>
      </c>
      <c r="C17" s="97" t="s">
        <v>46</v>
      </c>
      <c r="D17" s="29" t="s">
        <v>69</v>
      </c>
      <c r="E17" s="20" t="s">
        <v>47</v>
      </c>
      <c r="F17" s="88" t="s">
        <v>471</v>
      </c>
      <c r="G17" s="88" t="s">
        <v>36</v>
      </c>
      <c r="H17" s="88" t="s">
        <v>37</v>
      </c>
      <c r="I17" s="88" t="s">
        <v>38</v>
      </c>
      <c r="J17" s="88" t="s">
        <v>39</v>
      </c>
      <c r="K17" s="88" t="s">
        <v>40</v>
      </c>
      <c r="L17" s="47">
        <v>43697</v>
      </c>
      <c r="M17" s="47">
        <v>43700</v>
      </c>
      <c r="N17" s="90">
        <f>1321.79/2</f>
        <v>660.89499999999998</v>
      </c>
      <c r="O17" s="90">
        <f>1321.79/2</f>
        <v>660.89499999999998</v>
      </c>
      <c r="P17" s="90">
        <f t="shared" si="0"/>
        <v>1321.79</v>
      </c>
      <c r="Q17" s="88">
        <v>7</v>
      </c>
      <c r="R17" s="90">
        <v>120</v>
      </c>
      <c r="S17" s="88">
        <v>0</v>
      </c>
      <c r="T17" s="90">
        <v>0</v>
      </c>
      <c r="U17" s="90">
        <f t="shared" si="1"/>
        <v>840</v>
      </c>
      <c r="V17" s="90">
        <f t="shared" si="2"/>
        <v>2161.79</v>
      </c>
      <c r="W17" s="90">
        <f t="shared" si="3"/>
        <v>2161.79</v>
      </c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49"/>
    </row>
    <row r="18" spans="1:47" s="39" customFormat="1" ht="29.25" customHeight="1">
      <c r="A18" s="88" t="s">
        <v>371</v>
      </c>
      <c r="B18" s="97" t="s">
        <v>226</v>
      </c>
      <c r="C18" s="97" t="s">
        <v>206</v>
      </c>
      <c r="D18" s="29" t="s">
        <v>207</v>
      </c>
      <c r="E18" s="20" t="s">
        <v>208</v>
      </c>
      <c r="F18" s="88" t="s">
        <v>472</v>
      </c>
      <c r="G18" s="88" t="s">
        <v>36</v>
      </c>
      <c r="H18" s="88" t="s">
        <v>37</v>
      </c>
      <c r="I18" s="88" t="s">
        <v>38</v>
      </c>
      <c r="J18" s="88" t="s">
        <v>39</v>
      </c>
      <c r="K18" s="88" t="s">
        <v>40</v>
      </c>
      <c r="L18" s="47">
        <v>43698</v>
      </c>
      <c r="M18" s="47">
        <v>43700</v>
      </c>
      <c r="N18" s="90">
        <f>1059.99/2</f>
        <v>529.995</v>
      </c>
      <c r="O18" s="90">
        <f>1059.99/2</f>
        <v>529.995</v>
      </c>
      <c r="P18" s="90">
        <f t="shared" si="0"/>
        <v>1059.99</v>
      </c>
      <c r="Q18" s="88">
        <v>6</v>
      </c>
      <c r="R18" s="90">
        <v>120</v>
      </c>
      <c r="S18" s="88">
        <v>0</v>
      </c>
      <c r="T18" s="90">
        <v>0</v>
      </c>
      <c r="U18" s="90">
        <f t="shared" si="1"/>
        <v>720</v>
      </c>
      <c r="V18" s="90">
        <f t="shared" si="2"/>
        <v>1779.99</v>
      </c>
      <c r="W18" s="90">
        <f t="shared" si="3"/>
        <v>1779.99</v>
      </c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49"/>
    </row>
    <row r="19" spans="1:47" s="39" customFormat="1" ht="25.5">
      <c r="A19" s="88" t="s">
        <v>371</v>
      </c>
      <c r="B19" s="97" t="s">
        <v>226</v>
      </c>
      <c r="C19" s="97" t="s">
        <v>473</v>
      </c>
      <c r="D19" s="29" t="s">
        <v>474</v>
      </c>
      <c r="E19" s="20" t="s">
        <v>475</v>
      </c>
      <c r="F19" s="88" t="s">
        <v>472</v>
      </c>
      <c r="G19" s="88" t="s">
        <v>36</v>
      </c>
      <c r="H19" s="88" t="s">
        <v>37</v>
      </c>
      <c r="I19" s="88" t="s">
        <v>38</v>
      </c>
      <c r="J19" s="88" t="s">
        <v>39</v>
      </c>
      <c r="K19" s="88" t="s">
        <v>40</v>
      </c>
      <c r="L19" s="47">
        <v>43698</v>
      </c>
      <c r="M19" s="47">
        <v>43700</v>
      </c>
      <c r="N19" s="90">
        <f>1004.99/2</f>
        <v>502.495</v>
      </c>
      <c r="O19" s="90">
        <f>1004.99/2</f>
        <v>502.495</v>
      </c>
      <c r="P19" s="90">
        <f>SUM(N19:O19)</f>
        <v>1004.99</v>
      </c>
      <c r="Q19" s="88">
        <v>5</v>
      </c>
      <c r="R19" s="90">
        <v>120</v>
      </c>
      <c r="S19" s="88">
        <v>0</v>
      </c>
      <c r="T19" s="90">
        <v>0</v>
      </c>
      <c r="U19" s="90">
        <f t="shared" si="1"/>
        <v>600</v>
      </c>
      <c r="V19" s="90">
        <f>U19+P19</f>
        <v>1604.99</v>
      </c>
      <c r="W19" s="90">
        <f t="shared" si="3"/>
        <v>1604.99</v>
      </c>
      <c r="X19" s="88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49"/>
    </row>
    <row r="20" spans="1:47" ht="25.5">
      <c r="A20" s="88" t="s">
        <v>371</v>
      </c>
      <c r="B20" s="97" t="s">
        <v>396</v>
      </c>
      <c r="C20" s="97" t="s">
        <v>466</v>
      </c>
      <c r="D20" s="86" t="s">
        <v>467</v>
      </c>
      <c r="E20" s="87" t="s">
        <v>468</v>
      </c>
      <c r="F20" s="88" t="s">
        <v>470</v>
      </c>
      <c r="G20" s="88" t="s">
        <v>36</v>
      </c>
      <c r="H20" s="88" t="s">
        <v>37</v>
      </c>
      <c r="I20" s="88" t="s">
        <v>38</v>
      </c>
      <c r="J20" s="88" t="s">
        <v>39</v>
      </c>
      <c r="K20" s="88" t="s">
        <v>40</v>
      </c>
      <c r="L20" s="47">
        <v>43697</v>
      </c>
      <c r="M20" s="47">
        <v>43698</v>
      </c>
      <c r="N20" s="90">
        <f>1321.79/2</f>
        <v>660.89499999999998</v>
      </c>
      <c r="O20" s="90">
        <f>1321.79/2</f>
        <v>660.89499999999998</v>
      </c>
      <c r="P20" s="90">
        <f t="shared" ref="P20:P37" si="4">SUM(N20:O20)</f>
        <v>1321.79</v>
      </c>
      <c r="Q20" s="88">
        <v>2</v>
      </c>
      <c r="R20" s="90">
        <v>120</v>
      </c>
      <c r="S20" s="88">
        <v>0</v>
      </c>
      <c r="T20" s="90">
        <v>0</v>
      </c>
      <c r="U20" s="90">
        <f t="shared" si="1"/>
        <v>240</v>
      </c>
      <c r="V20" s="90">
        <f>U20+P20</f>
        <v>1561.79</v>
      </c>
      <c r="W20" s="90">
        <f t="shared" si="3"/>
        <v>1561.79</v>
      </c>
      <c r="X20" s="88"/>
    </row>
    <row r="21" spans="1:47" ht="25.5">
      <c r="A21" s="88" t="s">
        <v>371</v>
      </c>
      <c r="B21" s="97" t="s">
        <v>396</v>
      </c>
      <c r="C21" s="97" t="s">
        <v>466</v>
      </c>
      <c r="D21" s="86" t="s">
        <v>467</v>
      </c>
      <c r="E21" s="87" t="s">
        <v>468</v>
      </c>
      <c r="F21" s="88" t="s">
        <v>476</v>
      </c>
      <c r="G21" s="88" t="s">
        <v>36</v>
      </c>
      <c r="H21" s="88" t="s">
        <v>37</v>
      </c>
      <c r="I21" s="88" t="s">
        <v>38</v>
      </c>
      <c r="J21" s="88" t="s">
        <v>116</v>
      </c>
      <c r="K21" s="88" t="s">
        <v>117</v>
      </c>
      <c r="L21" s="47">
        <v>43690</v>
      </c>
      <c r="M21" s="47">
        <v>43693</v>
      </c>
      <c r="N21" s="90">
        <f>913.01/2</f>
        <v>456.505</v>
      </c>
      <c r="O21" s="90">
        <f>913.01/2</f>
        <v>456.505</v>
      </c>
      <c r="P21" s="90">
        <f t="shared" si="4"/>
        <v>913.01</v>
      </c>
      <c r="Q21" s="88">
        <v>4</v>
      </c>
      <c r="R21" s="90">
        <v>120</v>
      </c>
      <c r="S21" s="88">
        <v>0</v>
      </c>
      <c r="T21" s="90">
        <v>0</v>
      </c>
      <c r="U21" s="90">
        <f t="shared" ref="U21:U37" si="5">(Q21*R21)+(S21*T21)</f>
        <v>480</v>
      </c>
      <c r="V21" s="90">
        <f t="shared" ref="V21:V37" si="6">U21+P21</f>
        <v>1393.01</v>
      </c>
      <c r="W21" s="90">
        <f t="shared" si="3"/>
        <v>1393.01</v>
      </c>
      <c r="X21" s="88"/>
    </row>
    <row r="22" spans="1:47" ht="25.5">
      <c r="A22" s="88" t="s">
        <v>371</v>
      </c>
      <c r="B22" s="97" t="s">
        <v>396</v>
      </c>
      <c r="C22" s="97" t="s">
        <v>267</v>
      </c>
      <c r="D22" s="29" t="s">
        <v>145</v>
      </c>
      <c r="E22" s="20" t="s">
        <v>399</v>
      </c>
      <c r="F22" s="88" t="s">
        <v>470</v>
      </c>
      <c r="G22" s="88" t="s">
        <v>36</v>
      </c>
      <c r="H22" s="88" t="s">
        <v>37</v>
      </c>
      <c r="I22" s="88" t="s">
        <v>38</v>
      </c>
      <c r="J22" s="88" t="s">
        <v>318</v>
      </c>
      <c r="K22" s="88" t="s">
        <v>40</v>
      </c>
      <c r="L22" s="47">
        <v>43697</v>
      </c>
      <c r="M22" s="47">
        <v>43698</v>
      </c>
      <c r="N22" s="90">
        <f>1509.58/2</f>
        <v>754.79</v>
      </c>
      <c r="O22" s="90">
        <f>1509.58/2</f>
        <v>754.79</v>
      </c>
      <c r="P22" s="90">
        <f t="shared" si="4"/>
        <v>1509.58</v>
      </c>
      <c r="Q22" s="88">
        <v>2</v>
      </c>
      <c r="R22" s="90">
        <v>120</v>
      </c>
      <c r="S22" s="88">
        <v>0</v>
      </c>
      <c r="T22" s="90">
        <v>0</v>
      </c>
      <c r="U22" s="90">
        <f t="shared" si="5"/>
        <v>240</v>
      </c>
      <c r="V22" s="90">
        <f t="shared" si="6"/>
        <v>1749.58</v>
      </c>
      <c r="W22" s="90">
        <f t="shared" si="3"/>
        <v>1749.58</v>
      </c>
      <c r="X22" s="88"/>
    </row>
    <row r="23" spans="1:47" ht="38.25">
      <c r="A23" s="88" t="s">
        <v>371</v>
      </c>
      <c r="B23" s="97" t="s">
        <v>240</v>
      </c>
      <c r="C23" s="97" t="s">
        <v>477</v>
      </c>
      <c r="D23" s="29" t="s">
        <v>135</v>
      </c>
      <c r="E23" s="20" t="s">
        <v>478</v>
      </c>
      <c r="F23" s="88" t="s">
        <v>479</v>
      </c>
      <c r="G23" s="88" t="s">
        <v>36</v>
      </c>
      <c r="H23" s="88" t="s">
        <v>37</v>
      </c>
      <c r="I23" s="88" t="s">
        <v>38</v>
      </c>
      <c r="J23" s="88" t="s">
        <v>318</v>
      </c>
      <c r="K23" s="88" t="s">
        <v>40</v>
      </c>
      <c r="L23" s="47">
        <v>43697</v>
      </c>
      <c r="M23" s="47">
        <v>43698</v>
      </c>
      <c r="N23" s="90">
        <f>1517.28/2</f>
        <v>758.64</v>
      </c>
      <c r="O23" s="90">
        <f>1517.28/2</f>
        <v>758.64</v>
      </c>
      <c r="P23" s="90">
        <f t="shared" si="4"/>
        <v>1517.28</v>
      </c>
      <c r="Q23" s="88">
        <v>2</v>
      </c>
      <c r="R23" s="90">
        <v>120</v>
      </c>
      <c r="S23" s="88">
        <v>2</v>
      </c>
      <c r="T23" s="90">
        <v>100</v>
      </c>
      <c r="U23" s="90">
        <f t="shared" si="5"/>
        <v>440</v>
      </c>
      <c r="V23" s="90">
        <f t="shared" si="6"/>
        <v>1957.28</v>
      </c>
      <c r="W23" s="90">
        <f t="shared" si="3"/>
        <v>1957.28</v>
      </c>
      <c r="X23" s="88"/>
    </row>
    <row r="24" spans="1:47" ht="25.5">
      <c r="A24" s="88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88" t="s">
        <v>479</v>
      </c>
      <c r="G24" s="88" t="s">
        <v>36</v>
      </c>
      <c r="H24" s="88" t="s">
        <v>37</v>
      </c>
      <c r="I24" s="88" t="s">
        <v>38</v>
      </c>
      <c r="J24" s="88" t="s">
        <v>318</v>
      </c>
      <c r="K24" s="88" t="s">
        <v>40</v>
      </c>
      <c r="L24" s="47">
        <v>43697</v>
      </c>
      <c r="M24" s="47">
        <v>43698</v>
      </c>
      <c r="N24" s="90">
        <f>1517.28/2</f>
        <v>758.64</v>
      </c>
      <c r="O24" s="90">
        <f>1517.28/2</f>
        <v>758.64</v>
      </c>
      <c r="P24" s="90">
        <f t="shared" si="4"/>
        <v>1517.28</v>
      </c>
      <c r="Q24" s="88">
        <v>4</v>
      </c>
      <c r="R24" s="90">
        <v>120</v>
      </c>
      <c r="S24" s="88">
        <v>0</v>
      </c>
      <c r="T24" s="90">
        <v>0</v>
      </c>
      <c r="U24" s="90">
        <f t="shared" si="5"/>
        <v>480</v>
      </c>
      <c r="V24" s="90">
        <f t="shared" si="6"/>
        <v>1997.28</v>
      </c>
      <c r="W24" s="90">
        <f t="shared" si="3"/>
        <v>1997.28</v>
      </c>
      <c r="X24" s="88"/>
    </row>
    <row r="25" spans="1:47" ht="15" customHeight="1">
      <c r="A25" s="88" t="s">
        <v>371</v>
      </c>
      <c r="B25" s="97" t="s">
        <v>295</v>
      </c>
      <c r="C25" s="97" t="s">
        <v>480</v>
      </c>
      <c r="D25" s="29" t="s">
        <v>481</v>
      </c>
      <c r="E25" s="20" t="s">
        <v>475</v>
      </c>
      <c r="F25" s="88" t="s">
        <v>482</v>
      </c>
      <c r="G25" s="88" t="s">
        <v>36</v>
      </c>
      <c r="H25" s="88" t="s">
        <v>37</v>
      </c>
      <c r="I25" s="88" t="s">
        <v>38</v>
      </c>
      <c r="J25" s="88" t="s">
        <v>318</v>
      </c>
      <c r="K25" s="88" t="s">
        <v>40</v>
      </c>
      <c r="L25" s="47">
        <v>43690</v>
      </c>
      <c r="M25" s="47">
        <v>43692</v>
      </c>
      <c r="N25" s="90">
        <f>1712.38/2</f>
        <v>856.19</v>
      </c>
      <c r="O25" s="90">
        <f>1712.38/2</f>
        <v>856.19</v>
      </c>
      <c r="P25" s="90">
        <f t="shared" si="4"/>
        <v>1712.38</v>
      </c>
      <c r="Q25" s="88">
        <v>3</v>
      </c>
      <c r="R25" s="90">
        <v>120</v>
      </c>
      <c r="S25" s="88">
        <v>3</v>
      </c>
      <c r="T25" s="90">
        <v>100</v>
      </c>
      <c r="U25" s="90">
        <f t="shared" si="5"/>
        <v>660</v>
      </c>
      <c r="V25" s="90">
        <f t="shared" si="6"/>
        <v>2372.38</v>
      </c>
      <c r="W25" s="90">
        <f t="shared" si="3"/>
        <v>2372.38</v>
      </c>
      <c r="X25" s="88"/>
    </row>
    <row r="26" spans="1:47" ht="51">
      <c r="A26" s="88" t="s">
        <v>371</v>
      </c>
      <c r="B26" s="97" t="s">
        <v>295</v>
      </c>
      <c r="C26" s="97" t="s">
        <v>483</v>
      </c>
      <c r="D26" s="29" t="s">
        <v>300</v>
      </c>
      <c r="E26" s="20" t="s">
        <v>484</v>
      </c>
      <c r="F26" s="88" t="s">
        <v>482</v>
      </c>
      <c r="G26" s="88" t="s">
        <v>36</v>
      </c>
      <c r="H26" s="88" t="s">
        <v>37</v>
      </c>
      <c r="I26" s="88" t="s">
        <v>38</v>
      </c>
      <c r="J26" s="88" t="s">
        <v>318</v>
      </c>
      <c r="K26" s="88" t="s">
        <v>40</v>
      </c>
      <c r="L26" s="47">
        <v>43690</v>
      </c>
      <c r="M26" s="47">
        <v>43692</v>
      </c>
      <c r="N26" s="90">
        <f>1712.38/2</f>
        <v>856.19</v>
      </c>
      <c r="O26" s="90">
        <f>1712.38/2</f>
        <v>856.19</v>
      </c>
      <c r="P26" s="90">
        <f t="shared" si="4"/>
        <v>1712.38</v>
      </c>
      <c r="Q26" s="88">
        <v>3</v>
      </c>
      <c r="R26" s="90">
        <v>120</v>
      </c>
      <c r="S26" s="88">
        <v>3</v>
      </c>
      <c r="T26" s="90">
        <v>100</v>
      </c>
      <c r="U26" s="90">
        <f t="shared" si="5"/>
        <v>660</v>
      </c>
      <c r="V26" s="90">
        <f t="shared" si="6"/>
        <v>2372.38</v>
      </c>
      <c r="W26" s="90">
        <f t="shared" si="3"/>
        <v>2372.38</v>
      </c>
      <c r="X26" s="88"/>
    </row>
    <row r="27" spans="1:47" ht="25.5">
      <c r="A27" s="88" t="s">
        <v>231</v>
      </c>
      <c r="B27" s="97" t="s">
        <v>221</v>
      </c>
      <c r="C27" s="97" t="s">
        <v>54</v>
      </c>
      <c r="D27" s="29" t="s">
        <v>88</v>
      </c>
      <c r="E27" s="20" t="s">
        <v>55</v>
      </c>
      <c r="F27" s="88" t="s">
        <v>485</v>
      </c>
      <c r="G27" s="88" t="s">
        <v>36</v>
      </c>
      <c r="H27" s="88" t="s">
        <v>37</v>
      </c>
      <c r="I27" s="88" t="s">
        <v>38</v>
      </c>
      <c r="J27" s="88" t="s">
        <v>116</v>
      </c>
      <c r="K27" s="88" t="s">
        <v>117</v>
      </c>
      <c r="L27" s="47">
        <v>43684</v>
      </c>
      <c r="M27" s="47">
        <v>43685</v>
      </c>
      <c r="N27" s="90">
        <f>1364.01/2</f>
        <v>682.005</v>
      </c>
      <c r="O27" s="90">
        <f>1364.01/2</f>
        <v>682.005</v>
      </c>
      <c r="P27" s="90">
        <f t="shared" si="4"/>
        <v>1364.01</v>
      </c>
      <c r="Q27" s="88">
        <v>2</v>
      </c>
      <c r="R27" s="90">
        <v>120</v>
      </c>
      <c r="S27" s="88">
        <v>0</v>
      </c>
      <c r="T27" s="90">
        <v>0</v>
      </c>
      <c r="U27" s="90">
        <f t="shared" si="5"/>
        <v>240</v>
      </c>
      <c r="V27" s="90">
        <f t="shared" si="6"/>
        <v>1604.01</v>
      </c>
      <c r="W27" s="90">
        <f t="shared" si="3"/>
        <v>1604.01</v>
      </c>
      <c r="X27" s="88"/>
    </row>
    <row r="28" spans="1:47" ht="25.5">
      <c r="A28" s="88" t="s">
        <v>253</v>
      </c>
      <c r="B28" s="97" t="s">
        <v>253</v>
      </c>
      <c r="C28" s="97" t="s">
        <v>320</v>
      </c>
      <c r="D28" s="86" t="s">
        <v>321</v>
      </c>
      <c r="E28" s="20" t="s">
        <v>343</v>
      </c>
      <c r="F28" s="88" t="s">
        <v>485</v>
      </c>
      <c r="G28" s="88" t="s">
        <v>36</v>
      </c>
      <c r="H28" s="88" t="s">
        <v>37</v>
      </c>
      <c r="I28" s="88" t="s">
        <v>38</v>
      </c>
      <c r="J28" s="88" t="s">
        <v>116</v>
      </c>
      <c r="K28" s="88" t="s">
        <v>117</v>
      </c>
      <c r="L28" s="47">
        <v>43684</v>
      </c>
      <c r="M28" s="47">
        <v>43685</v>
      </c>
      <c r="N28" s="90">
        <f>1364.01/2</f>
        <v>682.005</v>
      </c>
      <c r="O28" s="90">
        <f>1364.01/2</f>
        <v>682.005</v>
      </c>
      <c r="P28" s="90">
        <f t="shared" si="4"/>
        <v>1364.01</v>
      </c>
      <c r="Q28" s="88">
        <v>2</v>
      </c>
      <c r="R28" s="90">
        <v>120</v>
      </c>
      <c r="S28" s="88">
        <v>0</v>
      </c>
      <c r="T28" s="90">
        <v>0</v>
      </c>
      <c r="U28" s="90">
        <f t="shared" si="5"/>
        <v>240</v>
      </c>
      <c r="V28" s="90">
        <f t="shared" si="6"/>
        <v>1604.01</v>
      </c>
      <c r="W28" s="90">
        <f t="shared" si="3"/>
        <v>1604.01</v>
      </c>
      <c r="X28" s="88"/>
    </row>
    <row r="29" spans="1:47" ht="25.5">
      <c r="A29" s="88" t="s">
        <v>253</v>
      </c>
      <c r="B29" s="97" t="s">
        <v>253</v>
      </c>
      <c r="C29" s="97" t="s">
        <v>486</v>
      </c>
      <c r="D29" s="29" t="s">
        <v>77</v>
      </c>
      <c r="E29" s="20" t="s">
        <v>50</v>
      </c>
      <c r="F29" s="88" t="s">
        <v>487</v>
      </c>
      <c r="G29" s="88" t="s">
        <v>36</v>
      </c>
      <c r="H29" s="88" t="s">
        <v>37</v>
      </c>
      <c r="I29" s="88" t="s">
        <v>38</v>
      </c>
      <c r="J29" s="88" t="s">
        <v>318</v>
      </c>
      <c r="K29" s="88" t="s">
        <v>40</v>
      </c>
      <c r="L29" s="47">
        <v>43688</v>
      </c>
      <c r="M29" s="47">
        <v>43689</v>
      </c>
      <c r="N29" s="90">
        <f>2499.98/2</f>
        <v>1249.99</v>
      </c>
      <c r="O29" s="90">
        <f>2499.98/2</f>
        <v>1249.99</v>
      </c>
      <c r="P29" s="90">
        <f t="shared" si="4"/>
        <v>2499.98</v>
      </c>
      <c r="Q29" s="88"/>
      <c r="R29" s="90"/>
      <c r="S29" s="88"/>
      <c r="T29" s="90"/>
      <c r="U29" s="90">
        <f t="shared" si="5"/>
        <v>0</v>
      </c>
      <c r="V29" s="90">
        <f t="shared" si="6"/>
        <v>2499.98</v>
      </c>
      <c r="W29" s="90">
        <f t="shared" si="3"/>
        <v>2499.98</v>
      </c>
      <c r="X29" s="88"/>
    </row>
    <row r="30" spans="1:47" ht="25.5">
      <c r="A30" s="88" t="s">
        <v>253</v>
      </c>
      <c r="B30" s="97" t="s">
        <v>253</v>
      </c>
      <c r="C30" s="97" t="s">
        <v>320</v>
      </c>
      <c r="D30" s="86" t="s">
        <v>321</v>
      </c>
      <c r="E30" s="20" t="s">
        <v>343</v>
      </c>
      <c r="F30" s="88" t="s">
        <v>487</v>
      </c>
      <c r="G30" s="88" t="s">
        <v>36</v>
      </c>
      <c r="H30" s="88" t="s">
        <v>37</v>
      </c>
      <c r="I30" s="88" t="s">
        <v>38</v>
      </c>
      <c r="J30" s="88" t="s">
        <v>318</v>
      </c>
      <c r="K30" s="88" t="s">
        <v>40</v>
      </c>
      <c r="L30" s="47">
        <v>43688</v>
      </c>
      <c r="M30" s="47">
        <v>43689</v>
      </c>
      <c r="N30" s="90">
        <f>2499.98/2</f>
        <v>1249.99</v>
      </c>
      <c r="O30" s="90">
        <f>2499.98/2</f>
        <v>1249.99</v>
      </c>
      <c r="P30" s="90">
        <f t="shared" si="4"/>
        <v>2499.98</v>
      </c>
      <c r="Q30" s="88">
        <v>2</v>
      </c>
      <c r="R30" s="90">
        <v>120</v>
      </c>
      <c r="S30" s="88"/>
      <c r="T30" s="90"/>
      <c r="U30" s="90">
        <f t="shared" si="5"/>
        <v>240</v>
      </c>
      <c r="V30" s="90">
        <f t="shared" si="6"/>
        <v>2739.98</v>
      </c>
      <c r="W30" s="90">
        <f t="shared" si="3"/>
        <v>2739.98</v>
      </c>
      <c r="X30" s="88"/>
    </row>
    <row r="31" spans="1:47" ht="25.5">
      <c r="A31" s="88" t="s">
        <v>231</v>
      </c>
      <c r="B31" s="97" t="s">
        <v>310</v>
      </c>
      <c r="C31" s="97" t="s">
        <v>439</v>
      </c>
      <c r="D31" s="29" t="s">
        <v>440</v>
      </c>
      <c r="E31" s="20" t="s">
        <v>488</v>
      </c>
      <c r="F31" s="91" t="s">
        <v>489</v>
      </c>
      <c r="G31" s="88" t="s">
        <v>36</v>
      </c>
      <c r="H31" s="88" t="s">
        <v>37</v>
      </c>
      <c r="I31" s="88" t="s">
        <v>38</v>
      </c>
      <c r="J31" s="88" t="s">
        <v>318</v>
      </c>
      <c r="K31" s="88" t="s">
        <v>40</v>
      </c>
      <c r="L31" s="47">
        <v>43705</v>
      </c>
      <c r="M31" s="47">
        <v>43706</v>
      </c>
      <c r="N31" s="90">
        <f>1813.58/2</f>
        <v>906.79</v>
      </c>
      <c r="O31" s="90">
        <f>1813.58/2</f>
        <v>906.79</v>
      </c>
      <c r="P31" s="90">
        <f t="shared" si="4"/>
        <v>1813.58</v>
      </c>
      <c r="Q31" s="88">
        <v>2</v>
      </c>
      <c r="R31" s="90">
        <v>120</v>
      </c>
      <c r="S31" s="88"/>
      <c r="T31" s="90"/>
      <c r="U31" s="90">
        <f t="shared" si="5"/>
        <v>240</v>
      </c>
      <c r="V31" s="90">
        <f t="shared" si="6"/>
        <v>2053.58</v>
      </c>
      <c r="W31" s="90">
        <f t="shared" si="3"/>
        <v>2053.58</v>
      </c>
      <c r="X31" s="88"/>
    </row>
    <row r="32" spans="1:47" ht="38.25">
      <c r="A32" s="88" t="s">
        <v>231</v>
      </c>
      <c r="B32" s="97" t="s">
        <v>229</v>
      </c>
      <c r="C32" s="97" t="s">
        <v>490</v>
      </c>
      <c r="D32" s="29" t="s">
        <v>491</v>
      </c>
      <c r="E32" s="20" t="s">
        <v>488</v>
      </c>
      <c r="F32" s="88" t="s">
        <v>492</v>
      </c>
      <c r="G32" s="88" t="s">
        <v>36</v>
      </c>
      <c r="H32" s="88" t="s">
        <v>37</v>
      </c>
      <c r="I32" s="88" t="s">
        <v>38</v>
      </c>
      <c r="J32" s="88" t="s">
        <v>62</v>
      </c>
      <c r="K32" s="88" t="s">
        <v>63</v>
      </c>
      <c r="L32" s="47">
        <v>43698</v>
      </c>
      <c r="M32" s="47">
        <v>43700</v>
      </c>
      <c r="N32" s="90">
        <f>1681.69/2</f>
        <v>840.84500000000003</v>
      </c>
      <c r="O32" s="90">
        <f>1681.69/2</f>
        <v>840.84500000000003</v>
      </c>
      <c r="P32" s="90">
        <f t="shared" si="4"/>
        <v>1681.69</v>
      </c>
      <c r="Q32" s="88">
        <v>3</v>
      </c>
      <c r="R32" s="90">
        <v>120</v>
      </c>
      <c r="S32" s="88"/>
      <c r="T32" s="90"/>
      <c r="U32" s="90">
        <f t="shared" si="5"/>
        <v>360</v>
      </c>
      <c r="V32" s="90">
        <f t="shared" si="6"/>
        <v>2041.69</v>
      </c>
      <c r="W32" s="90">
        <f t="shared" si="3"/>
        <v>2041.69</v>
      </c>
      <c r="X32" s="88"/>
    </row>
    <row r="33" spans="1:24" ht="25.5">
      <c r="A33" s="88" t="s">
        <v>253</v>
      </c>
      <c r="B33" s="97" t="s">
        <v>212</v>
      </c>
      <c r="C33" s="97" t="s">
        <v>100</v>
      </c>
      <c r="D33" s="29" t="s">
        <v>101</v>
      </c>
      <c r="E33" s="20" t="s">
        <v>493</v>
      </c>
      <c r="F33" s="88" t="s">
        <v>494</v>
      </c>
      <c r="G33" s="88" t="s">
        <v>36</v>
      </c>
      <c r="H33" s="88" t="s">
        <v>37</v>
      </c>
      <c r="I33" s="88" t="s">
        <v>38</v>
      </c>
      <c r="J33" s="88" t="s">
        <v>62</v>
      </c>
      <c r="K33" s="88" t="s">
        <v>414</v>
      </c>
      <c r="L33" s="47">
        <v>43702</v>
      </c>
      <c r="M33" s="47">
        <v>43706</v>
      </c>
      <c r="N33" s="90">
        <f>1896.52/2</f>
        <v>948.26</v>
      </c>
      <c r="O33" s="90">
        <f>1896.52/2</f>
        <v>948.26</v>
      </c>
      <c r="P33" s="90">
        <f t="shared" si="4"/>
        <v>1896.52</v>
      </c>
      <c r="Q33" s="88"/>
      <c r="R33" s="90"/>
      <c r="S33" s="88">
        <v>11</v>
      </c>
      <c r="T33" s="90">
        <v>100</v>
      </c>
      <c r="U33" s="90">
        <f t="shared" si="5"/>
        <v>1100</v>
      </c>
      <c r="V33" s="90">
        <f t="shared" si="6"/>
        <v>2996.52</v>
      </c>
      <c r="W33" s="90">
        <f t="shared" si="3"/>
        <v>2996.52</v>
      </c>
      <c r="X33" s="88"/>
    </row>
    <row r="34" spans="1:24" ht="25.5">
      <c r="A34" s="88" t="s">
        <v>371</v>
      </c>
      <c r="B34" s="97" t="s">
        <v>240</v>
      </c>
      <c r="C34" s="97" t="s">
        <v>140</v>
      </c>
      <c r="D34" s="29" t="s">
        <v>141</v>
      </c>
      <c r="E34" s="20" t="s">
        <v>411</v>
      </c>
      <c r="F34" s="88" t="s">
        <v>495</v>
      </c>
      <c r="G34" s="88" t="s">
        <v>36</v>
      </c>
      <c r="H34" s="88" t="s">
        <v>37</v>
      </c>
      <c r="I34" s="88" t="s">
        <v>38</v>
      </c>
      <c r="J34" s="88" t="s">
        <v>318</v>
      </c>
      <c r="K34" s="88" t="s">
        <v>40</v>
      </c>
      <c r="L34" s="47">
        <v>43688</v>
      </c>
      <c r="M34" s="47">
        <v>43689</v>
      </c>
      <c r="N34" s="90">
        <f>2391.78/2</f>
        <v>1195.8900000000001</v>
      </c>
      <c r="O34" s="90">
        <f>2391.78/2</f>
        <v>1195.8900000000001</v>
      </c>
      <c r="P34" s="90">
        <f t="shared" si="4"/>
        <v>2391.7800000000002</v>
      </c>
      <c r="Q34" s="88">
        <v>5</v>
      </c>
      <c r="R34" s="90">
        <v>120</v>
      </c>
      <c r="S34" s="88"/>
      <c r="T34" s="90"/>
      <c r="U34" s="90">
        <f t="shared" si="5"/>
        <v>600</v>
      </c>
      <c r="V34" s="90">
        <f t="shared" si="6"/>
        <v>2991.78</v>
      </c>
      <c r="W34" s="90">
        <f t="shared" si="3"/>
        <v>2991.78</v>
      </c>
      <c r="X34" s="88"/>
    </row>
    <row r="35" spans="1:24" ht="25.5">
      <c r="A35" s="88" t="s">
        <v>253</v>
      </c>
      <c r="B35" s="97" t="s">
        <v>288</v>
      </c>
      <c r="C35" s="97" t="s">
        <v>378</v>
      </c>
      <c r="D35" s="29" t="s">
        <v>379</v>
      </c>
      <c r="E35" s="20" t="s">
        <v>493</v>
      </c>
      <c r="F35" s="88" t="s">
        <v>496</v>
      </c>
      <c r="G35" s="88" t="s">
        <v>36</v>
      </c>
      <c r="H35" s="88" t="s">
        <v>37</v>
      </c>
      <c r="I35" s="88" t="s">
        <v>38</v>
      </c>
      <c r="J35" s="88" t="s">
        <v>62</v>
      </c>
      <c r="K35" s="88" t="s">
        <v>63</v>
      </c>
      <c r="L35" s="47">
        <v>43689</v>
      </c>
      <c r="M35" s="47">
        <v>43691</v>
      </c>
      <c r="N35" s="90">
        <f>2260.5/2</f>
        <v>1130.25</v>
      </c>
      <c r="O35" s="90">
        <f>2260.5/2</f>
        <v>1130.25</v>
      </c>
      <c r="P35" s="90">
        <f t="shared" si="4"/>
        <v>2260.5</v>
      </c>
      <c r="Q35" s="88">
        <v>3</v>
      </c>
      <c r="R35" s="90">
        <v>120</v>
      </c>
      <c r="S35" s="88"/>
      <c r="T35" s="90"/>
      <c r="U35" s="90">
        <f t="shared" si="5"/>
        <v>360</v>
      </c>
      <c r="V35" s="90">
        <f t="shared" si="6"/>
        <v>2620.5</v>
      </c>
      <c r="W35" s="90">
        <f t="shared" si="3"/>
        <v>2620.5</v>
      </c>
      <c r="X35" s="88"/>
    </row>
    <row r="36" spans="1:24" ht="38.25">
      <c r="A36" s="88" t="s">
        <v>253</v>
      </c>
      <c r="B36" s="97" t="s">
        <v>234</v>
      </c>
      <c r="C36" s="97" t="s">
        <v>237</v>
      </c>
      <c r="D36" s="29" t="s">
        <v>238</v>
      </c>
      <c r="E36" s="20" t="s">
        <v>497</v>
      </c>
      <c r="F36" s="88" t="s">
        <v>498</v>
      </c>
      <c r="G36" s="88" t="s">
        <v>36</v>
      </c>
      <c r="H36" s="88" t="s">
        <v>37</v>
      </c>
      <c r="I36" s="88" t="s">
        <v>38</v>
      </c>
      <c r="J36" s="88" t="s">
        <v>373</v>
      </c>
      <c r="K36" s="88" t="s">
        <v>374</v>
      </c>
      <c r="L36" s="47">
        <v>43698</v>
      </c>
      <c r="M36" s="47">
        <v>43700</v>
      </c>
      <c r="N36" s="90">
        <f>1029.37/2</f>
        <v>514.68499999999995</v>
      </c>
      <c r="O36" s="90">
        <f>1029.37/2</f>
        <v>514.68499999999995</v>
      </c>
      <c r="P36" s="90">
        <f t="shared" si="4"/>
        <v>1029.3699999999999</v>
      </c>
      <c r="Q36" s="88">
        <v>3</v>
      </c>
      <c r="R36" s="90">
        <v>120</v>
      </c>
      <c r="S36" s="88"/>
      <c r="T36" s="90"/>
      <c r="U36" s="90">
        <f t="shared" si="5"/>
        <v>360</v>
      </c>
      <c r="V36" s="90">
        <f t="shared" si="6"/>
        <v>1389.37</v>
      </c>
      <c r="W36" s="90">
        <f t="shared" si="3"/>
        <v>1389.37</v>
      </c>
      <c r="X36" s="88"/>
    </row>
    <row r="37" spans="1:24" ht="51">
      <c r="A37" s="88" t="s">
        <v>231</v>
      </c>
      <c r="B37" s="97" t="s">
        <v>229</v>
      </c>
      <c r="C37" s="97" t="s">
        <v>65</v>
      </c>
      <c r="D37" s="29" t="s">
        <v>66</v>
      </c>
      <c r="E37" s="20" t="s">
        <v>499</v>
      </c>
      <c r="F37" s="88" t="s">
        <v>500</v>
      </c>
      <c r="G37" s="88" t="s">
        <v>36</v>
      </c>
      <c r="H37" s="88" t="s">
        <v>37</v>
      </c>
      <c r="I37" s="88" t="s">
        <v>38</v>
      </c>
      <c r="J37" s="88" t="s">
        <v>62</v>
      </c>
      <c r="K37" s="88" t="s">
        <v>414</v>
      </c>
      <c r="L37" s="47">
        <v>43692</v>
      </c>
      <c r="M37" s="47">
        <v>43695</v>
      </c>
      <c r="N37" s="90">
        <f>3137.61/2</f>
        <v>1568.8050000000001</v>
      </c>
      <c r="O37" s="90">
        <f>3137.61/2</f>
        <v>1568.8050000000001</v>
      </c>
      <c r="P37" s="90">
        <f t="shared" si="4"/>
        <v>3137.61</v>
      </c>
      <c r="Q37" s="88">
        <v>4</v>
      </c>
      <c r="R37" s="90">
        <v>120</v>
      </c>
      <c r="S37" s="88"/>
      <c r="T37" s="90"/>
      <c r="U37" s="90">
        <f t="shared" si="5"/>
        <v>480</v>
      </c>
      <c r="V37" s="90">
        <f t="shared" si="6"/>
        <v>3617.61</v>
      </c>
      <c r="W37" s="90">
        <f t="shared" si="3"/>
        <v>3617.61</v>
      </c>
      <c r="X37" s="8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50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48">
        <v>43586</v>
      </c>
    </row>
    <row r="6" spans="1:47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7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47" s="39" customFormat="1" ht="25.5">
      <c r="A10" s="88" t="s">
        <v>231</v>
      </c>
      <c r="B10" s="97" t="s">
        <v>221</v>
      </c>
      <c r="C10" s="97" t="s">
        <v>277</v>
      </c>
      <c r="D10" s="29" t="s">
        <v>278</v>
      </c>
      <c r="E10" s="20" t="s">
        <v>501</v>
      </c>
      <c r="F10" s="88" t="s">
        <v>502</v>
      </c>
      <c r="G10" s="88" t="s">
        <v>36</v>
      </c>
      <c r="H10" s="88" t="s">
        <v>37</v>
      </c>
      <c r="I10" s="88" t="s">
        <v>38</v>
      </c>
      <c r="J10" s="88" t="s">
        <v>62</v>
      </c>
      <c r="K10" s="88" t="s">
        <v>63</v>
      </c>
      <c r="L10" s="47">
        <v>43726</v>
      </c>
      <c r="M10" s="47">
        <v>43727</v>
      </c>
      <c r="N10" s="90">
        <f>1366.1/2</f>
        <v>683.05</v>
      </c>
      <c r="O10" s="90">
        <f>1366.1/2</f>
        <v>683.05</v>
      </c>
      <c r="P10" s="90">
        <f t="shared" ref="P10:P37" si="0">SUM(N10:O10)</f>
        <v>1366.1</v>
      </c>
      <c r="Q10" s="88">
        <v>2</v>
      </c>
      <c r="R10" s="90">
        <v>120</v>
      </c>
      <c r="S10" s="88">
        <v>0</v>
      </c>
      <c r="T10" s="90">
        <v>0</v>
      </c>
      <c r="U10" s="90">
        <f>(Q10*R10)+(S10*T10)</f>
        <v>240</v>
      </c>
      <c r="V10" s="90">
        <f>U10+P10</f>
        <v>1606.1</v>
      </c>
      <c r="W10" s="90">
        <f>V10</f>
        <v>1606.1</v>
      </c>
      <c r="X10" s="88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49"/>
    </row>
    <row r="11" spans="1:47" s="39" customFormat="1" ht="25.5">
      <c r="A11" s="88" t="s">
        <v>231</v>
      </c>
      <c r="B11" s="97" t="s">
        <v>221</v>
      </c>
      <c r="C11" s="97" t="s">
        <v>54</v>
      </c>
      <c r="D11" s="29" t="s">
        <v>88</v>
      </c>
      <c r="E11" s="20" t="s">
        <v>55</v>
      </c>
      <c r="F11" s="88" t="s">
        <v>502</v>
      </c>
      <c r="G11" s="88" t="s">
        <v>36</v>
      </c>
      <c r="H11" s="88" t="s">
        <v>37</v>
      </c>
      <c r="I11" s="88" t="s">
        <v>38</v>
      </c>
      <c r="J11" s="88" t="s">
        <v>62</v>
      </c>
      <c r="K11" s="88" t="s">
        <v>63</v>
      </c>
      <c r="L11" s="47">
        <v>43726</v>
      </c>
      <c r="M11" s="47">
        <v>43727</v>
      </c>
      <c r="N11" s="90">
        <f>1366.1/2</f>
        <v>683.05</v>
      </c>
      <c r="O11" s="90">
        <f>1366.1/2</f>
        <v>683.05</v>
      </c>
      <c r="P11" s="90">
        <f t="shared" si="0"/>
        <v>1366.1</v>
      </c>
      <c r="Q11" s="88">
        <v>4</v>
      </c>
      <c r="R11" s="90">
        <v>120</v>
      </c>
      <c r="S11" s="88">
        <v>0</v>
      </c>
      <c r="T11" s="90">
        <v>0</v>
      </c>
      <c r="U11" s="90">
        <f t="shared" ref="U11:U37" si="1">(Q11*R11)+(S11*T11)</f>
        <v>480</v>
      </c>
      <c r="V11" s="90">
        <f t="shared" ref="V11:V37" si="2">U11+P11</f>
        <v>1846.1</v>
      </c>
      <c r="W11" s="90">
        <f t="shared" ref="W11:W37" si="3">V11</f>
        <v>1846.1</v>
      </c>
      <c r="X11" s="88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49"/>
    </row>
    <row r="12" spans="1:47" s="39" customFormat="1" ht="38.25">
      <c r="A12" s="88" t="s">
        <v>371</v>
      </c>
      <c r="B12" s="97" t="s">
        <v>273</v>
      </c>
      <c r="C12" s="97" t="s">
        <v>195</v>
      </c>
      <c r="D12" s="29" t="s">
        <v>196</v>
      </c>
      <c r="E12" s="20" t="s">
        <v>197</v>
      </c>
      <c r="F12" s="88" t="s">
        <v>503</v>
      </c>
      <c r="G12" s="88" t="s">
        <v>36</v>
      </c>
      <c r="H12" s="88" t="s">
        <v>37</v>
      </c>
      <c r="I12" s="88" t="s">
        <v>38</v>
      </c>
      <c r="J12" s="88" t="s">
        <v>504</v>
      </c>
      <c r="K12" s="88" t="s">
        <v>505</v>
      </c>
      <c r="L12" s="47">
        <v>43725</v>
      </c>
      <c r="M12" s="47">
        <v>43728</v>
      </c>
      <c r="N12" s="90">
        <f>1590.3/2</f>
        <v>795.15</v>
      </c>
      <c r="O12" s="90">
        <f>1590.3/2</f>
        <v>795.15</v>
      </c>
      <c r="P12" s="90">
        <f t="shared" si="0"/>
        <v>1590.3</v>
      </c>
      <c r="Q12" s="88">
        <v>4</v>
      </c>
      <c r="R12" s="90">
        <v>120</v>
      </c>
      <c r="S12" s="88">
        <v>0</v>
      </c>
      <c r="T12" s="90">
        <v>0</v>
      </c>
      <c r="U12" s="90">
        <f t="shared" si="1"/>
        <v>480</v>
      </c>
      <c r="V12" s="90">
        <f t="shared" si="2"/>
        <v>2070.3000000000002</v>
      </c>
      <c r="W12" s="90">
        <f t="shared" si="3"/>
        <v>2070.3000000000002</v>
      </c>
      <c r="X12" s="88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49"/>
    </row>
    <row r="13" spans="1:47" s="39" customFormat="1" ht="25.5">
      <c r="A13" s="88" t="s">
        <v>371</v>
      </c>
      <c r="B13" s="97" t="s">
        <v>273</v>
      </c>
      <c r="C13" s="97" t="s">
        <v>201</v>
      </c>
      <c r="D13" s="29" t="s">
        <v>202</v>
      </c>
      <c r="E13" s="20" t="s">
        <v>348</v>
      </c>
      <c r="F13" s="88" t="s">
        <v>503</v>
      </c>
      <c r="G13" s="88" t="s">
        <v>36</v>
      </c>
      <c r="H13" s="88" t="s">
        <v>37</v>
      </c>
      <c r="I13" s="88" t="s">
        <v>38</v>
      </c>
      <c r="J13" s="88" t="s">
        <v>504</v>
      </c>
      <c r="K13" s="88" t="s">
        <v>505</v>
      </c>
      <c r="L13" s="47">
        <v>43725</v>
      </c>
      <c r="M13" s="47">
        <v>43728</v>
      </c>
      <c r="N13" s="90">
        <f>1590.3/2</f>
        <v>795.15</v>
      </c>
      <c r="O13" s="90">
        <f>1590.3/2</f>
        <v>795.15</v>
      </c>
      <c r="P13" s="90">
        <f t="shared" si="0"/>
        <v>1590.3</v>
      </c>
      <c r="Q13" s="88">
        <v>6</v>
      </c>
      <c r="R13" s="90">
        <v>120</v>
      </c>
      <c r="S13" s="88">
        <v>0</v>
      </c>
      <c r="T13" s="90">
        <v>0</v>
      </c>
      <c r="U13" s="90">
        <f t="shared" si="1"/>
        <v>720</v>
      </c>
      <c r="V13" s="90">
        <f t="shared" si="2"/>
        <v>2310.3000000000002</v>
      </c>
      <c r="W13" s="90">
        <f t="shared" si="3"/>
        <v>2310.3000000000002</v>
      </c>
      <c r="X13" s="88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49"/>
    </row>
    <row r="14" spans="1:47" s="39" customFormat="1" ht="38.25">
      <c r="A14" s="88" t="s">
        <v>371</v>
      </c>
      <c r="B14" s="97" t="s">
        <v>396</v>
      </c>
      <c r="C14" s="97" t="s">
        <v>152</v>
      </c>
      <c r="D14" s="86" t="s">
        <v>153</v>
      </c>
      <c r="E14" s="87" t="s">
        <v>506</v>
      </c>
      <c r="F14" s="88" t="s">
        <v>507</v>
      </c>
      <c r="G14" s="88" t="s">
        <v>36</v>
      </c>
      <c r="H14" s="88" t="s">
        <v>37</v>
      </c>
      <c r="I14" s="88" t="s">
        <v>38</v>
      </c>
      <c r="J14" s="88" t="s">
        <v>373</v>
      </c>
      <c r="K14" s="88" t="s">
        <v>374</v>
      </c>
      <c r="L14" s="47">
        <v>43712</v>
      </c>
      <c r="M14" s="47">
        <v>43713</v>
      </c>
      <c r="N14" s="90">
        <f>1386.87/2</f>
        <v>693.43499999999995</v>
      </c>
      <c r="O14" s="90">
        <f>1386.87/2</f>
        <v>693.43499999999995</v>
      </c>
      <c r="P14" s="90">
        <f t="shared" si="0"/>
        <v>1386.87</v>
      </c>
      <c r="Q14" s="88">
        <v>2</v>
      </c>
      <c r="R14" s="90">
        <v>120</v>
      </c>
      <c r="S14" s="88">
        <v>0</v>
      </c>
      <c r="T14" s="90">
        <v>0</v>
      </c>
      <c r="U14" s="90">
        <f t="shared" si="1"/>
        <v>240</v>
      </c>
      <c r="V14" s="90">
        <f t="shared" si="2"/>
        <v>1626.87</v>
      </c>
      <c r="W14" s="90">
        <f t="shared" si="3"/>
        <v>1626.87</v>
      </c>
      <c r="X14" s="88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49"/>
    </row>
    <row r="15" spans="1:47" s="39" customFormat="1" ht="25.5">
      <c r="A15" s="88"/>
      <c r="B15" s="97" t="s">
        <v>215</v>
      </c>
      <c r="C15" s="97" t="s">
        <v>58</v>
      </c>
      <c r="D15" s="86" t="s">
        <v>59</v>
      </c>
      <c r="E15" s="20" t="s">
        <v>428</v>
      </c>
      <c r="F15" s="88" t="s">
        <v>508</v>
      </c>
      <c r="G15" s="88" t="s">
        <v>36</v>
      </c>
      <c r="H15" s="88" t="s">
        <v>37</v>
      </c>
      <c r="I15" s="88" t="s">
        <v>38</v>
      </c>
      <c r="J15" s="88" t="s">
        <v>62</v>
      </c>
      <c r="K15" s="88" t="s">
        <v>63</v>
      </c>
      <c r="L15" s="47">
        <v>43725</v>
      </c>
      <c r="M15" s="47">
        <v>43727</v>
      </c>
      <c r="N15" s="90">
        <f>1221.9/2</f>
        <v>610.95000000000005</v>
      </c>
      <c r="O15" s="90">
        <f>1221.9/2</f>
        <v>610.95000000000005</v>
      </c>
      <c r="P15" s="90">
        <f t="shared" si="0"/>
        <v>1221.9000000000001</v>
      </c>
      <c r="Q15" s="88">
        <v>6</v>
      </c>
      <c r="R15" s="90">
        <v>120</v>
      </c>
      <c r="S15" s="88">
        <v>0</v>
      </c>
      <c r="T15" s="90">
        <v>0</v>
      </c>
      <c r="U15" s="90">
        <f t="shared" si="1"/>
        <v>720</v>
      </c>
      <c r="V15" s="90">
        <f t="shared" si="2"/>
        <v>1941.9</v>
      </c>
      <c r="W15" s="90">
        <f t="shared" si="3"/>
        <v>1941.9</v>
      </c>
      <c r="X15" s="88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49"/>
    </row>
    <row r="16" spans="1:47" s="39" customFormat="1" ht="25.5">
      <c r="A16" s="88" t="s">
        <v>253</v>
      </c>
      <c r="B16" s="88" t="s">
        <v>253</v>
      </c>
      <c r="C16" s="97" t="s">
        <v>320</v>
      </c>
      <c r="D16" s="86" t="s">
        <v>321</v>
      </c>
      <c r="E16" s="20" t="s">
        <v>343</v>
      </c>
      <c r="F16" s="88" t="s">
        <v>509</v>
      </c>
      <c r="G16" s="88" t="s">
        <v>36</v>
      </c>
      <c r="H16" s="88" t="s">
        <v>37</v>
      </c>
      <c r="I16" s="88" t="s">
        <v>38</v>
      </c>
      <c r="J16" s="88" t="s">
        <v>39</v>
      </c>
      <c r="K16" s="88" t="s">
        <v>40</v>
      </c>
      <c r="L16" s="47">
        <v>43720</v>
      </c>
      <c r="M16" s="47">
        <v>43721</v>
      </c>
      <c r="N16" s="90">
        <f t="shared" ref="N16:O19" si="4">1297.79/2</f>
        <v>648.89499999999998</v>
      </c>
      <c r="O16" s="90">
        <f t="shared" si="4"/>
        <v>648.89499999999998</v>
      </c>
      <c r="P16" s="90">
        <f t="shared" si="0"/>
        <v>1297.79</v>
      </c>
      <c r="Q16" s="88">
        <v>2</v>
      </c>
      <c r="R16" s="90">
        <v>120</v>
      </c>
      <c r="S16" s="88">
        <v>0</v>
      </c>
      <c r="T16" s="90">
        <v>0</v>
      </c>
      <c r="U16" s="90">
        <f t="shared" si="1"/>
        <v>240</v>
      </c>
      <c r="V16" s="90">
        <f t="shared" si="2"/>
        <v>1537.79</v>
      </c>
      <c r="W16" s="90">
        <f t="shared" si="3"/>
        <v>1537.79</v>
      </c>
      <c r="X16" s="88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49"/>
    </row>
    <row r="17" spans="1:47" s="39" customFormat="1" ht="25.5">
      <c r="A17" s="88" t="s">
        <v>371</v>
      </c>
      <c r="B17" s="97" t="s">
        <v>371</v>
      </c>
      <c r="C17" s="97" t="s">
        <v>137</v>
      </c>
      <c r="D17" s="29" t="s">
        <v>138</v>
      </c>
      <c r="E17" s="20" t="s">
        <v>343</v>
      </c>
      <c r="F17" s="88" t="s">
        <v>509</v>
      </c>
      <c r="G17" s="88" t="s">
        <v>36</v>
      </c>
      <c r="H17" s="88" t="s">
        <v>37</v>
      </c>
      <c r="I17" s="88" t="s">
        <v>38</v>
      </c>
      <c r="J17" s="88" t="s">
        <v>39</v>
      </c>
      <c r="K17" s="88" t="s">
        <v>40</v>
      </c>
      <c r="L17" s="47">
        <v>43720</v>
      </c>
      <c r="M17" s="47">
        <v>43721</v>
      </c>
      <c r="N17" s="90">
        <f t="shared" si="4"/>
        <v>648.89499999999998</v>
      </c>
      <c r="O17" s="90">
        <f t="shared" si="4"/>
        <v>648.89499999999998</v>
      </c>
      <c r="P17" s="90">
        <f t="shared" si="0"/>
        <v>1297.79</v>
      </c>
      <c r="Q17" s="88">
        <v>2</v>
      </c>
      <c r="R17" s="90">
        <v>120</v>
      </c>
      <c r="S17" s="88">
        <v>0</v>
      </c>
      <c r="T17" s="90">
        <v>0</v>
      </c>
      <c r="U17" s="90">
        <f t="shared" si="1"/>
        <v>240</v>
      </c>
      <c r="V17" s="90">
        <f t="shared" si="2"/>
        <v>1537.79</v>
      </c>
      <c r="W17" s="90">
        <f t="shared" si="3"/>
        <v>1537.79</v>
      </c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49"/>
    </row>
    <row r="18" spans="1:47" s="39" customFormat="1" ht="36.75" customHeight="1">
      <c r="A18" s="88" t="s">
        <v>371</v>
      </c>
      <c r="B18" s="97" t="s">
        <v>371</v>
      </c>
      <c r="C18" s="97" t="s">
        <v>79</v>
      </c>
      <c r="D18" s="29" t="s">
        <v>77</v>
      </c>
      <c r="E18" s="20" t="s">
        <v>80</v>
      </c>
      <c r="F18" s="88" t="s">
        <v>509</v>
      </c>
      <c r="G18" s="88" t="s">
        <v>36</v>
      </c>
      <c r="H18" s="88" t="s">
        <v>37</v>
      </c>
      <c r="I18" s="88" t="s">
        <v>38</v>
      </c>
      <c r="J18" s="88" t="s">
        <v>39</v>
      </c>
      <c r="K18" s="88" t="s">
        <v>40</v>
      </c>
      <c r="L18" s="47">
        <v>43720</v>
      </c>
      <c r="M18" s="47">
        <v>43721</v>
      </c>
      <c r="N18" s="90">
        <f t="shared" si="4"/>
        <v>648.89499999999998</v>
      </c>
      <c r="O18" s="90">
        <f t="shared" si="4"/>
        <v>648.89499999999998</v>
      </c>
      <c r="P18" s="90">
        <f t="shared" si="0"/>
        <v>1297.79</v>
      </c>
      <c r="Q18" s="88">
        <v>0</v>
      </c>
      <c r="R18" s="90">
        <v>0</v>
      </c>
      <c r="S18" s="88">
        <v>0</v>
      </c>
      <c r="T18" s="90">
        <v>0</v>
      </c>
      <c r="U18" s="90">
        <f t="shared" si="1"/>
        <v>0</v>
      </c>
      <c r="V18" s="90">
        <f t="shared" si="2"/>
        <v>1297.79</v>
      </c>
      <c r="W18" s="90">
        <f t="shared" si="3"/>
        <v>1297.79</v>
      </c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49"/>
    </row>
    <row r="19" spans="1:47" s="39" customFormat="1" ht="25.5">
      <c r="A19" s="88" t="s">
        <v>231</v>
      </c>
      <c r="B19" s="97" t="s">
        <v>221</v>
      </c>
      <c r="C19" s="97" t="s">
        <v>54</v>
      </c>
      <c r="D19" s="29" t="s">
        <v>88</v>
      </c>
      <c r="E19" s="20" t="s">
        <v>55</v>
      </c>
      <c r="F19" s="88" t="s">
        <v>509</v>
      </c>
      <c r="G19" s="88" t="s">
        <v>36</v>
      </c>
      <c r="H19" s="88" t="s">
        <v>37</v>
      </c>
      <c r="I19" s="88" t="s">
        <v>38</v>
      </c>
      <c r="J19" s="88" t="s">
        <v>39</v>
      </c>
      <c r="K19" s="88" t="s">
        <v>40</v>
      </c>
      <c r="L19" s="47">
        <v>43720</v>
      </c>
      <c r="M19" s="47">
        <v>43721</v>
      </c>
      <c r="N19" s="90">
        <f t="shared" si="4"/>
        <v>648.89499999999998</v>
      </c>
      <c r="O19" s="90">
        <f t="shared" si="4"/>
        <v>648.89499999999998</v>
      </c>
      <c r="P19" s="90">
        <f t="shared" si="0"/>
        <v>1297.79</v>
      </c>
      <c r="Q19" s="88">
        <v>4</v>
      </c>
      <c r="R19" s="90">
        <v>120</v>
      </c>
      <c r="S19" s="88">
        <v>0</v>
      </c>
      <c r="T19" s="90">
        <v>0</v>
      </c>
      <c r="U19" s="90">
        <f t="shared" si="1"/>
        <v>480</v>
      </c>
      <c r="V19" s="90">
        <f t="shared" si="2"/>
        <v>1777.79</v>
      </c>
      <c r="W19" s="90">
        <f t="shared" si="3"/>
        <v>1777.79</v>
      </c>
      <c r="X19" s="88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49"/>
    </row>
    <row r="20" spans="1:47" ht="25.5">
      <c r="A20" s="88" t="s">
        <v>253</v>
      </c>
      <c r="B20" s="88" t="s">
        <v>253</v>
      </c>
      <c r="C20" s="97" t="s">
        <v>486</v>
      </c>
      <c r="D20" s="86" t="s">
        <v>107</v>
      </c>
      <c r="E20" s="87" t="s">
        <v>50</v>
      </c>
      <c r="F20" s="88" t="s">
        <v>509</v>
      </c>
      <c r="G20" s="88" t="s">
        <v>36</v>
      </c>
      <c r="H20" s="88" t="s">
        <v>37</v>
      </c>
      <c r="I20" s="88" t="s">
        <v>38</v>
      </c>
      <c r="J20" s="88" t="s">
        <v>39</v>
      </c>
      <c r="K20" s="88" t="s">
        <v>40</v>
      </c>
      <c r="L20" s="47">
        <v>43720</v>
      </c>
      <c r="M20" s="47">
        <v>43723</v>
      </c>
      <c r="N20" s="90">
        <f>1817.69/2</f>
        <v>908.84500000000003</v>
      </c>
      <c r="O20" s="90">
        <f>1817.69/2</f>
        <v>908.84500000000003</v>
      </c>
      <c r="P20" s="90">
        <f t="shared" si="0"/>
        <v>1817.69</v>
      </c>
      <c r="Q20" s="88">
        <v>0</v>
      </c>
      <c r="R20" s="90">
        <v>0</v>
      </c>
      <c r="S20" s="88">
        <v>0</v>
      </c>
      <c r="T20" s="90">
        <v>0</v>
      </c>
      <c r="U20" s="90">
        <f t="shared" si="1"/>
        <v>0</v>
      </c>
      <c r="V20" s="90">
        <f t="shared" si="2"/>
        <v>1817.69</v>
      </c>
      <c r="W20" s="90">
        <f t="shared" si="3"/>
        <v>1817.69</v>
      </c>
      <c r="X20" s="88"/>
    </row>
    <row r="21" spans="1:47" ht="25.5">
      <c r="A21" s="88" t="s">
        <v>371</v>
      </c>
      <c r="B21" s="97" t="s">
        <v>240</v>
      </c>
      <c r="C21" s="97" t="s">
        <v>140</v>
      </c>
      <c r="D21" s="29" t="s">
        <v>141</v>
      </c>
      <c r="E21" s="20" t="s">
        <v>411</v>
      </c>
      <c r="F21" s="88" t="s">
        <v>509</v>
      </c>
      <c r="G21" s="88" t="s">
        <v>36</v>
      </c>
      <c r="H21" s="88" t="s">
        <v>37</v>
      </c>
      <c r="I21" s="88" t="s">
        <v>38</v>
      </c>
      <c r="J21" s="88" t="s">
        <v>39</v>
      </c>
      <c r="K21" s="88" t="s">
        <v>40</v>
      </c>
      <c r="L21" s="47">
        <v>43720</v>
      </c>
      <c r="M21" s="47">
        <v>43721</v>
      </c>
      <c r="N21" s="90">
        <f>1297.79/2</f>
        <v>648.89499999999998</v>
      </c>
      <c r="O21" s="90">
        <f>1297.79/2</f>
        <v>648.89499999999998</v>
      </c>
      <c r="P21" s="90">
        <f t="shared" si="0"/>
        <v>1297.79</v>
      </c>
      <c r="Q21" s="88">
        <v>2</v>
      </c>
      <c r="R21" s="90">
        <v>120</v>
      </c>
      <c r="S21" s="88">
        <v>0</v>
      </c>
      <c r="T21" s="90">
        <v>0</v>
      </c>
      <c r="U21" s="90">
        <f t="shared" si="1"/>
        <v>240</v>
      </c>
      <c r="V21" s="90">
        <f t="shared" si="2"/>
        <v>1537.79</v>
      </c>
      <c r="W21" s="90">
        <f t="shared" si="3"/>
        <v>1537.79</v>
      </c>
      <c r="X21" s="88"/>
    </row>
    <row r="22" spans="1:47" ht="25.5">
      <c r="A22" s="88" t="s">
        <v>253</v>
      </c>
      <c r="B22" s="88" t="s">
        <v>253</v>
      </c>
      <c r="C22" s="97" t="s">
        <v>486</v>
      </c>
      <c r="D22" s="29" t="s">
        <v>107</v>
      </c>
      <c r="E22" s="87" t="s">
        <v>50</v>
      </c>
      <c r="F22" s="88" t="s">
        <v>510</v>
      </c>
      <c r="G22" s="88" t="s">
        <v>36</v>
      </c>
      <c r="H22" s="88" t="s">
        <v>37</v>
      </c>
      <c r="I22" s="88" t="s">
        <v>38</v>
      </c>
      <c r="J22" s="88" t="s">
        <v>39</v>
      </c>
      <c r="K22" s="88" t="s">
        <v>40</v>
      </c>
      <c r="L22" s="47">
        <v>43726</v>
      </c>
      <c r="M22" s="47">
        <v>43727</v>
      </c>
      <c r="N22" s="90">
        <f>1364.49/2</f>
        <v>682.245</v>
      </c>
      <c r="O22" s="90">
        <f>1364.49/2</f>
        <v>682.245</v>
      </c>
      <c r="P22" s="90">
        <f t="shared" si="0"/>
        <v>1364.49</v>
      </c>
      <c r="Q22" s="88">
        <v>0</v>
      </c>
      <c r="R22" s="90">
        <v>0</v>
      </c>
      <c r="S22" s="88">
        <v>0</v>
      </c>
      <c r="T22" s="90">
        <v>0</v>
      </c>
      <c r="U22" s="90">
        <f t="shared" si="1"/>
        <v>0</v>
      </c>
      <c r="V22" s="90">
        <f t="shared" si="2"/>
        <v>1364.49</v>
      </c>
      <c r="W22" s="90">
        <f t="shared" si="3"/>
        <v>1364.49</v>
      </c>
      <c r="X22" s="88"/>
    </row>
    <row r="23" spans="1:47" ht="25.5">
      <c r="A23" s="88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88" t="s">
        <v>230</v>
      </c>
      <c r="G23" s="88" t="s">
        <v>36</v>
      </c>
      <c r="H23" s="88" t="s">
        <v>37</v>
      </c>
      <c r="I23" s="88" t="s">
        <v>38</v>
      </c>
      <c r="J23" s="88" t="s">
        <v>39</v>
      </c>
      <c r="K23" s="88" t="s">
        <v>40</v>
      </c>
      <c r="L23" s="47">
        <v>43733</v>
      </c>
      <c r="M23" s="47">
        <v>43734</v>
      </c>
      <c r="N23" s="90">
        <f>2424.89/2</f>
        <v>1212.4449999999999</v>
      </c>
      <c r="O23" s="90">
        <f>2424.89/2</f>
        <v>1212.4449999999999</v>
      </c>
      <c r="P23" s="90">
        <f t="shared" si="0"/>
        <v>2424.89</v>
      </c>
      <c r="Q23" s="88">
        <v>4</v>
      </c>
      <c r="R23" s="90">
        <v>120</v>
      </c>
      <c r="S23" s="88">
        <v>0</v>
      </c>
      <c r="T23" s="90">
        <v>0</v>
      </c>
      <c r="U23" s="90">
        <f t="shared" si="1"/>
        <v>480</v>
      </c>
      <c r="V23" s="90">
        <f t="shared" si="2"/>
        <v>2904.89</v>
      </c>
      <c r="W23" s="90">
        <f t="shared" si="3"/>
        <v>2904.89</v>
      </c>
      <c r="X23" s="88"/>
    </row>
    <row r="24" spans="1:47" ht="25.5">
      <c r="A24" s="88" t="s">
        <v>253</v>
      </c>
      <c r="B24" s="97" t="s">
        <v>288</v>
      </c>
      <c r="C24" s="97" t="s">
        <v>112</v>
      </c>
      <c r="D24" s="29" t="s">
        <v>113</v>
      </c>
      <c r="E24" s="20" t="s">
        <v>332</v>
      </c>
      <c r="F24" s="88" t="s">
        <v>511</v>
      </c>
      <c r="G24" s="88" t="s">
        <v>36</v>
      </c>
      <c r="H24" s="88" t="s">
        <v>37</v>
      </c>
      <c r="I24" s="88" t="s">
        <v>38</v>
      </c>
      <c r="J24" s="88" t="s">
        <v>62</v>
      </c>
      <c r="K24" s="88" t="s">
        <v>63</v>
      </c>
      <c r="L24" s="47">
        <v>43737</v>
      </c>
      <c r="M24" s="47">
        <v>43742</v>
      </c>
      <c r="N24" s="90">
        <f>1955.32/2</f>
        <v>977.66</v>
      </c>
      <c r="O24" s="90">
        <f>1955.32/2</f>
        <v>977.66</v>
      </c>
      <c r="P24" s="90">
        <f t="shared" si="0"/>
        <v>1955.32</v>
      </c>
      <c r="Q24" s="88">
        <v>6</v>
      </c>
      <c r="R24" s="90">
        <v>120</v>
      </c>
      <c r="S24" s="88">
        <v>0</v>
      </c>
      <c r="T24" s="90">
        <v>0</v>
      </c>
      <c r="U24" s="90">
        <f t="shared" si="1"/>
        <v>720</v>
      </c>
      <c r="V24" s="90">
        <f t="shared" si="2"/>
        <v>2675.3199999999997</v>
      </c>
      <c r="W24" s="90">
        <f t="shared" si="3"/>
        <v>2675.3199999999997</v>
      </c>
      <c r="X24" s="88"/>
    </row>
    <row r="25" spans="1:47" ht="15" customHeight="1">
      <c r="A25" s="88"/>
      <c r="B25" s="97"/>
      <c r="C25" s="97"/>
      <c r="D25" s="29"/>
      <c r="E25" s="20"/>
      <c r="F25" s="88"/>
      <c r="G25" s="88"/>
      <c r="H25" s="88"/>
      <c r="I25" s="88"/>
      <c r="J25" s="88"/>
      <c r="K25" s="88"/>
      <c r="L25" s="47"/>
      <c r="M25" s="47"/>
      <c r="N25" s="90"/>
      <c r="O25" s="90"/>
      <c r="P25" s="90">
        <f t="shared" si="0"/>
        <v>0</v>
      </c>
      <c r="Q25" s="88"/>
      <c r="R25" s="90"/>
      <c r="S25" s="88"/>
      <c r="T25" s="90"/>
      <c r="U25" s="90">
        <f t="shared" si="1"/>
        <v>0</v>
      </c>
      <c r="V25" s="90">
        <f t="shared" si="2"/>
        <v>0</v>
      </c>
      <c r="W25" s="90">
        <f t="shared" si="3"/>
        <v>0</v>
      </c>
      <c r="X25" s="88"/>
    </row>
    <row r="26" spans="1:47">
      <c r="A26" s="88"/>
      <c r="B26" s="97"/>
      <c r="C26" s="97"/>
      <c r="D26" s="29"/>
      <c r="E26" s="20"/>
      <c r="F26" s="88"/>
      <c r="G26" s="88"/>
      <c r="H26" s="88"/>
      <c r="I26" s="88"/>
      <c r="J26" s="88"/>
      <c r="K26" s="88"/>
      <c r="L26" s="47"/>
      <c r="M26" s="47"/>
      <c r="N26" s="90"/>
      <c r="O26" s="90"/>
      <c r="P26" s="90">
        <f t="shared" si="0"/>
        <v>0</v>
      </c>
      <c r="Q26" s="88"/>
      <c r="R26" s="90"/>
      <c r="S26" s="88"/>
      <c r="T26" s="90"/>
      <c r="U26" s="90">
        <f t="shared" si="1"/>
        <v>0</v>
      </c>
      <c r="V26" s="90">
        <f t="shared" si="2"/>
        <v>0</v>
      </c>
      <c r="W26" s="90">
        <f t="shared" si="3"/>
        <v>0</v>
      </c>
      <c r="X26" s="88"/>
    </row>
    <row r="27" spans="1:47">
      <c r="A27" s="88"/>
      <c r="B27" s="97"/>
      <c r="C27" s="97"/>
      <c r="D27" s="29"/>
      <c r="E27" s="20"/>
      <c r="F27" s="88"/>
      <c r="G27" s="88"/>
      <c r="H27" s="88"/>
      <c r="I27" s="88"/>
      <c r="J27" s="88"/>
      <c r="K27" s="88"/>
      <c r="L27" s="47"/>
      <c r="M27" s="47"/>
      <c r="N27" s="90"/>
      <c r="O27" s="90"/>
      <c r="P27" s="90">
        <f t="shared" si="0"/>
        <v>0</v>
      </c>
      <c r="Q27" s="88"/>
      <c r="R27" s="90"/>
      <c r="S27" s="88"/>
      <c r="T27" s="90"/>
      <c r="U27" s="90">
        <f t="shared" si="1"/>
        <v>0</v>
      </c>
      <c r="V27" s="90">
        <f t="shared" si="2"/>
        <v>0</v>
      </c>
      <c r="W27" s="90">
        <f t="shared" si="3"/>
        <v>0</v>
      </c>
      <c r="X27" s="88"/>
    </row>
    <row r="28" spans="1:47">
      <c r="A28" s="88"/>
      <c r="B28" s="97"/>
      <c r="C28" s="97"/>
      <c r="D28" s="86"/>
      <c r="E28" s="20"/>
      <c r="F28" s="88"/>
      <c r="G28" s="88"/>
      <c r="H28" s="88"/>
      <c r="I28" s="88"/>
      <c r="J28" s="88"/>
      <c r="K28" s="88"/>
      <c r="L28" s="47"/>
      <c r="M28" s="47"/>
      <c r="N28" s="90"/>
      <c r="O28" s="90"/>
      <c r="P28" s="90">
        <f t="shared" si="0"/>
        <v>0</v>
      </c>
      <c r="Q28" s="88"/>
      <c r="R28" s="90"/>
      <c r="S28" s="88"/>
      <c r="T28" s="90"/>
      <c r="U28" s="90">
        <f t="shared" si="1"/>
        <v>0</v>
      </c>
      <c r="V28" s="90">
        <f t="shared" si="2"/>
        <v>0</v>
      </c>
      <c r="W28" s="90">
        <f t="shared" si="3"/>
        <v>0</v>
      </c>
      <c r="X28" s="88"/>
    </row>
    <row r="29" spans="1:47">
      <c r="A29" s="88"/>
      <c r="B29" s="97"/>
      <c r="C29" s="97"/>
      <c r="D29" s="29"/>
      <c r="E29" s="20"/>
      <c r="F29" s="88"/>
      <c r="G29" s="88"/>
      <c r="H29" s="88"/>
      <c r="I29" s="88"/>
      <c r="J29" s="88"/>
      <c r="K29" s="88"/>
      <c r="L29" s="47"/>
      <c r="M29" s="47"/>
      <c r="N29" s="90"/>
      <c r="O29" s="90"/>
      <c r="P29" s="90">
        <f t="shared" si="0"/>
        <v>0</v>
      </c>
      <c r="Q29" s="88"/>
      <c r="R29" s="90"/>
      <c r="S29" s="88"/>
      <c r="T29" s="90"/>
      <c r="U29" s="90">
        <f t="shared" si="1"/>
        <v>0</v>
      </c>
      <c r="V29" s="90">
        <f t="shared" si="2"/>
        <v>0</v>
      </c>
      <c r="W29" s="90">
        <f t="shared" si="3"/>
        <v>0</v>
      </c>
      <c r="X29" s="88"/>
    </row>
    <row r="30" spans="1:47">
      <c r="A30" s="88"/>
      <c r="B30" s="97"/>
      <c r="C30" s="97"/>
      <c r="D30" s="86"/>
      <c r="E30" s="20"/>
      <c r="F30" s="88"/>
      <c r="G30" s="88"/>
      <c r="H30" s="88"/>
      <c r="I30" s="88"/>
      <c r="J30" s="88"/>
      <c r="K30" s="88"/>
      <c r="L30" s="47"/>
      <c r="M30" s="47"/>
      <c r="N30" s="90"/>
      <c r="O30" s="90"/>
      <c r="P30" s="90">
        <f t="shared" si="0"/>
        <v>0</v>
      </c>
      <c r="Q30" s="88"/>
      <c r="R30" s="90"/>
      <c r="S30" s="88"/>
      <c r="T30" s="90"/>
      <c r="U30" s="90">
        <f t="shared" si="1"/>
        <v>0</v>
      </c>
      <c r="V30" s="90">
        <f t="shared" si="2"/>
        <v>0</v>
      </c>
      <c r="W30" s="90">
        <f t="shared" si="3"/>
        <v>0</v>
      </c>
      <c r="X30" s="88"/>
    </row>
    <row r="31" spans="1:47">
      <c r="A31" s="88"/>
      <c r="B31" s="97"/>
      <c r="C31" s="97"/>
      <c r="D31" s="29"/>
      <c r="E31" s="20"/>
      <c r="F31" s="91"/>
      <c r="G31" s="88"/>
      <c r="H31" s="88"/>
      <c r="I31" s="88"/>
      <c r="J31" s="88"/>
      <c r="K31" s="88"/>
      <c r="L31" s="47"/>
      <c r="M31" s="47"/>
      <c r="N31" s="90"/>
      <c r="O31" s="90"/>
      <c r="P31" s="90">
        <f t="shared" si="0"/>
        <v>0</v>
      </c>
      <c r="Q31" s="88"/>
      <c r="R31" s="90"/>
      <c r="S31" s="88"/>
      <c r="T31" s="90"/>
      <c r="U31" s="90">
        <f t="shared" si="1"/>
        <v>0</v>
      </c>
      <c r="V31" s="90">
        <f t="shared" si="2"/>
        <v>0</v>
      </c>
      <c r="W31" s="90">
        <f t="shared" si="3"/>
        <v>0</v>
      </c>
      <c r="X31" s="88"/>
    </row>
    <row r="32" spans="1:47">
      <c r="A32" s="88"/>
      <c r="B32" s="97"/>
      <c r="C32" s="97"/>
      <c r="D32" s="29"/>
      <c r="E32" s="20"/>
      <c r="F32" s="88"/>
      <c r="G32" s="88"/>
      <c r="H32" s="88"/>
      <c r="I32" s="88"/>
      <c r="J32" s="88"/>
      <c r="K32" s="88"/>
      <c r="L32" s="47"/>
      <c r="M32" s="47"/>
      <c r="N32" s="90"/>
      <c r="O32" s="90"/>
      <c r="P32" s="90">
        <f t="shared" si="0"/>
        <v>0</v>
      </c>
      <c r="Q32" s="88"/>
      <c r="R32" s="90"/>
      <c r="S32" s="88"/>
      <c r="T32" s="90"/>
      <c r="U32" s="90">
        <f t="shared" si="1"/>
        <v>0</v>
      </c>
      <c r="V32" s="90">
        <f t="shared" si="2"/>
        <v>0</v>
      </c>
      <c r="W32" s="90">
        <f t="shared" si="3"/>
        <v>0</v>
      </c>
      <c r="X32" s="88"/>
    </row>
    <row r="33" spans="1:24">
      <c r="A33" s="88"/>
      <c r="B33" s="97"/>
      <c r="C33" s="97"/>
      <c r="D33" s="29"/>
      <c r="E33" s="20"/>
      <c r="F33" s="88"/>
      <c r="G33" s="88"/>
      <c r="H33" s="88"/>
      <c r="I33" s="88"/>
      <c r="J33" s="88"/>
      <c r="K33" s="88"/>
      <c r="L33" s="47"/>
      <c r="M33" s="47"/>
      <c r="N33" s="90"/>
      <c r="O33" s="90"/>
      <c r="P33" s="90">
        <f t="shared" si="0"/>
        <v>0</v>
      </c>
      <c r="Q33" s="88"/>
      <c r="R33" s="90"/>
      <c r="S33" s="88"/>
      <c r="T33" s="90"/>
      <c r="U33" s="90">
        <f t="shared" si="1"/>
        <v>0</v>
      </c>
      <c r="V33" s="90">
        <f t="shared" si="2"/>
        <v>0</v>
      </c>
      <c r="W33" s="90">
        <f t="shared" si="3"/>
        <v>0</v>
      </c>
      <c r="X33" s="88"/>
    </row>
    <row r="34" spans="1:24">
      <c r="A34" s="88"/>
      <c r="B34" s="97"/>
      <c r="C34" s="97"/>
      <c r="D34" s="29"/>
      <c r="E34" s="20"/>
      <c r="F34" s="88"/>
      <c r="G34" s="88"/>
      <c r="H34" s="88"/>
      <c r="I34" s="88"/>
      <c r="J34" s="88"/>
      <c r="K34" s="88"/>
      <c r="L34" s="47"/>
      <c r="M34" s="47"/>
      <c r="N34" s="90"/>
      <c r="O34" s="90"/>
      <c r="P34" s="90">
        <f t="shared" si="0"/>
        <v>0</v>
      </c>
      <c r="Q34" s="88"/>
      <c r="R34" s="90"/>
      <c r="S34" s="88"/>
      <c r="T34" s="90"/>
      <c r="U34" s="90">
        <f t="shared" si="1"/>
        <v>0</v>
      </c>
      <c r="V34" s="90">
        <f t="shared" si="2"/>
        <v>0</v>
      </c>
      <c r="W34" s="90">
        <f t="shared" si="3"/>
        <v>0</v>
      </c>
      <c r="X34" s="88"/>
    </row>
    <row r="35" spans="1:24">
      <c r="A35" s="88"/>
      <c r="B35" s="97"/>
      <c r="C35" s="97"/>
      <c r="D35" s="29"/>
      <c r="E35" s="20"/>
      <c r="F35" s="88"/>
      <c r="G35" s="88"/>
      <c r="H35" s="88"/>
      <c r="I35" s="88"/>
      <c r="J35" s="88"/>
      <c r="K35" s="88"/>
      <c r="L35" s="47"/>
      <c r="M35" s="47"/>
      <c r="N35" s="90"/>
      <c r="O35" s="90"/>
      <c r="P35" s="90">
        <f t="shared" si="0"/>
        <v>0</v>
      </c>
      <c r="Q35" s="88"/>
      <c r="R35" s="90"/>
      <c r="S35" s="88"/>
      <c r="T35" s="90"/>
      <c r="U35" s="90">
        <f t="shared" si="1"/>
        <v>0</v>
      </c>
      <c r="V35" s="90">
        <f t="shared" si="2"/>
        <v>0</v>
      </c>
      <c r="W35" s="90">
        <f t="shared" si="3"/>
        <v>0</v>
      </c>
      <c r="X35" s="88"/>
    </row>
    <row r="36" spans="1:24">
      <c r="A36" s="88"/>
      <c r="B36" s="97"/>
      <c r="C36" s="97"/>
      <c r="D36" s="29"/>
      <c r="E36" s="20"/>
      <c r="F36" s="88"/>
      <c r="G36" s="88"/>
      <c r="H36" s="88"/>
      <c r="I36" s="88"/>
      <c r="J36" s="88"/>
      <c r="K36" s="88"/>
      <c r="L36" s="47"/>
      <c r="M36" s="47"/>
      <c r="N36" s="90"/>
      <c r="O36" s="90"/>
      <c r="P36" s="90">
        <f t="shared" si="0"/>
        <v>0</v>
      </c>
      <c r="Q36" s="88"/>
      <c r="R36" s="90"/>
      <c r="S36" s="88"/>
      <c r="T36" s="90"/>
      <c r="U36" s="90">
        <f t="shared" si="1"/>
        <v>0</v>
      </c>
      <c r="V36" s="90">
        <f t="shared" si="2"/>
        <v>0</v>
      </c>
      <c r="W36" s="90">
        <f t="shared" si="3"/>
        <v>0</v>
      </c>
      <c r="X36" s="88"/>
    </row>
    <row r="37" spans="1:24">
      <c r="A37" s="88"/>
      <c r="B37" s="97"/>
      <c r="C37" s="97"/>
      <c r="D37" s="29"/>
      <c r="E37" s="20"/>
      <c r="F37" s="88"/>
      <c r="G37" s="88"/>
      <c r="H37" s="88"/>
      <c r="I37" s="88"/>
      <c r="J37" s="88"/>
      <c r="K37" s="88"/>
      <c r="L37" s="47"/>
      <c r="M37" s="47"/>
      <c r="N37" s="90"/>
      <c r="O37" s="90"/>
      <c r="P37" s="90">
        <f t="shared" si="0"/>
        <v>0</v>
      </c>
      <c r="Q37" s="88"/>
      <c r="R37" s="90"/>
      <c r="S37" s="88"/>
      <c r="T37" s="90"/>
      <c r="U37" s="90">
        <f t="shared" si="1"/>
        <v>0</v>
      </c>
      <c r="V37" s="90">
        <f t="shared" si="2"/>
        <v>0</v>
      </c>
      <c r="W37" s="90">
        <f t="shared" si="3"/>
        <v>0</v>
      </c>
      <c r="X37" s="8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50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48">
        <v>43586</v>
      </c>
    </row>
    <row r="6" spans="1:47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7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47" s="39" customFormat="1" ht="38.25">
      <c r="A10" s="97" t="s">
        <v>512</v>
      </c>
      <c r="B10" s="97" t="s">
        <v>259</v>
      </c>
      <c r="C10" s="52" t="s">
        <v>383</v>
      </c>
      <c r="D10" s="29" t="s">
        <v>384</v>
      </c>
      <c r="E10" s="20" t="s">
        <v>513</v>
      </c>
      <c r="F10" s="88" t="s">
        <v>514</v>
      </c>
      <c r="G10" s="88" t="s">
        <v>36</v>
      </c>
      <c r="H10" s="88" t="s">
        <v>37</v>
      </c>
      <c r="I10" s="88" t="s">
        <v>38</v>
      </c>
      <c r="J10" s="88" t="s">
        <v>39</v>
      </c>
      <c r="K10" s="88" t="s">
        <v>40</v>
      </c>
      <c r="L10" s="47">
        <v>43760</v>
      </c>
      <c r="M10" s="47">
        <v>43763</v>
      </c>
      <c r="N10" s="90">
        <v>1297.79</v>
      </c>
      <c r="O10" s="90">
        <v>650.12</v>
      </c>
      <c r="P10" s="90">
        <f t="shared" ref="P10:P37" si="0">SUM(N10:O10)</f>
        <v>1947.9099999999999</v>
      </c>
      <c r="Q10" s="88">
        <v>4</v>
      </c>
      <c r="R10" s="90">
        <v>120</v>
      </c>
      <c r="S10" s="88">
        <v>0</v>
      </c>
      <c r="T10" s="90">
        <v>0</v>
      </c>
      <c r="U10" s="90">
        <f>(Q10*R10)+(S10*T10)</f>
        <v>480</v>
      </c>
      <c r="V10" s="90">
        <f>U10+P10</f>
        <v>2427.91</v>
      </c>
      <c r="W10" s="90">
        <f>V10</f>
        <v>2427.91</v>
      </c>
      <c r="X10" s="88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49"/>
    </row>
    <row r="11" spans="1:47" s="39" customFormat="1" ht="51">
      <c r="A11" s="97" t="s">
        <v>512</v>
      </c>
      <c r="B11" s="97" t="s">
        <v>259</v>
      </c>
      <c r="C11" s="97" t="s">
        <v>433</v>
      </c>
      <c r="D11" s="29" t="s">
        <v>434</v>
      </c>
      <c r="E11" s="20" t="s">
        <v>515</v>
      </c>
      <c r="F11" s="88" t="s">
        <v>514</v>
      </c>
      <c r="G11" s="88" t="s">
        <v>36</v>
      </c>
      <c r="H11" s="88" t="s">
        <v>37</v>
      </c>
      <c r="I11" s="88" t="s">
        <v>38</v>
      </c>
      <c r="J11" s="88" t="s">
        <v>39</v>
      </c>
      <c r="K11" s="88" t="s">
        <v>40</v>
      </c>
      <c r="L11" s="47">
        <v>43760</v>
      </c>
      <c r="M11" s="47">
        <v>43763</v>
      </c>
      <c r="N11" s="90">
        <f>1562.38
/2</f>
        <v>781.19</v>
      </c>
      <c r="O11" s="90">
        <f>1562.38
/2</f>
        <v>781.19</v>
      </c>
      <c r="P11" s="90">
        <f t="shared" si="0"/>
        <v>1562.38</v>
      </c>
      <c r="Q11" s="88">
        <v>4</v>
      </c>
      <c r="R11" s="90">
        <v>120</v>
      </c>
      <c r="S11" s="88">
        <v>0</v>
      </c>
      <c r="T11" s="90">
        <v>0</v>
      </c>
      <c r="U11" s="90">
        <f t="shared" ref="U11:U37" si="1">(Q11*R11)+(S11*T11)</f>
        <v>480</v>
      </c>
      <c r="V11" s="90">
        <f t="shared" ref="V11:V37" si="2">U11+P11</f>
        <v>2042.38</v>
      </c>
      <c r="W11" s="90">
        <f t="shared" ref="W11:W37" si="3">V11</f>
        <v>2042.38</v>
      </c>
      <c r="X11" s="88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49"/>
    </row>
    <row r="12" spans="1:47" s="39" customFormat="1" ht="25.5">
      <c r="A12" s="97" t="s">
        <v>512</v>
      </c>
      <c r="B12" s="97" t="s">
        <v>512</v>
      </c>
      <c r="C12" s="52" t="s">
        <v>320</v>
      </c>
      <c r="D12" s="86" t="s">
        <v>321</v>
      </c>
      <c r="E12" s="20" t="s">
        <v>343</v>
      </c>
      <c r="F12" s="88" t="s">
        <v>514</v>
      </c>
      <c r="G12" s="88" t="s">
        <v>36</v>
      </c>
      <c r="H12" s="88" t="s">
        <v>37</v>
      </c>
      <c r="I12" s="88" t="s">
        <v>38</v>
      </c>
      <c r="J12" s="88" t="s">
        <v>39</v>
      </c>
      <c r="K12" s="88" t="s">
        <v>40</v>
      </c>
      <c r="L12" s="47">
        <v>43760</v>
      </c>
      <c r="M12" s="47">
        <v>43763</v>
      </c>
      <c r="N12" s="90">
        <v>1297.79</v>
      </c>
      <c r="O12" s="90">
        <v>650.12</v>
      </c>
      <c r="P12" s="90">
        <f t="shared" si="0"/>
        <v>1947.9099999999999</v>
      </c>
      <c r="Q12" s="88">
        <v>0</v>
      </c>
      <c r="R12" s="90">
        <v>0</v>
      </c>
      <c r="S12" s="88">
        <v>0</v>
      </c>
      <c r="T12" s="90">
        <v>0</v>
      </c>
      <c r="U12" s="90">
        <f t="shared" si="1"/>
        <v>0</v>
      </c>
      <c r="V12" s="90">
        <f t="shared" si="2"/>
        <v>1947.9099999999999</v>
      </c>
      <c r="W12" s="90">
        <f t="shared" si="3"/>
        <v>1947.9099999999999</v>
      </c>
      <c r="X12" s="88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49"/>
    </row>
    <row r="13" spans="1:47" s="39" customFormat="1" ht="30">
      <c r="A13" s="97" t="s">
        <v>512</v>
      </c>
      <c r="B13" s="97" t="s">
        <v>288</v>
      </c>
      <c r="C13" s="98" t="s">
        <v>516</v>
      </c>
      <c r="D13" s="29" t="s">
        <v>517</v>
      </c>
      <c r="E13" s="20" t="s">
        <v>518</v>
      </c>
      <c r="F13" s="88" t="s">
        <v>519</v>
      </c>
      <c r="G13" s="88" t="s">
        <v>36</v>
      </c>
      <c r="H13" s="88" t="s">
        <v>37</v>
      </c>
      <c r="I13" s="88" t="s">
        <v>38</v>
      </c>
      <c r="J13" s="88" t="s">
        <v>109</v>
      </c>
      <c r="K13" s="88" t="s">
        <v>110</v>
      </c>
      <c r="L13" s="47">
        <v>43739</v>
      </c>
      <c r="M13" s="47">
        <v>43740</v>
      </c>
      <c r="N13" s="90">
        <f>444.88/2</f>
        <v>222.44</v>
      </c>
      <c r="O13" s="90">
        <f>444.88/2</f>
        <v>222.44</v>
      </c>
      <c r="P13" s="90">
        <f t="shared" si="0"/>
        <v>444.88</v>
      </c>
      <c r="Q13" s="88">
        <v>2</v>
      </c>
      <c r="R13" s="90">
        <v>120</v>
      </c>
      <c r="S13" s="88">
        <v>0</v>
      </c>
      <c r="T13" s="90">
        <v>0</v>
      </c>
      <c r="U13" s="90">
        <f t="shared" si="1"/>
        <v>240</v>
      </c>
      <c r="V13" s="90">
        <f t="shared" si="2"/>
        <v>684.88</v>
      </c>
      <c r="W13" s="90">
        <f t="shared" si="3"/>
        <v>684.88</v>
      </c>
      <c r="X13" s="88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49"/>
    </row>
    <row r="14" spans="1:47" s="39" customFormat="1" ht="25.5">
      <c r="A14" s="97" t="s">
        <v>512</v>
      </c>
      <c r="B14" s="97" t="s">
        <v>520</v>
      </c>
      <c r="C14" s="97" t="s">
        <v>521</v>
      </c>
      <c r="D14" s="86" t="s">
        <v>522</v>
      </c>
      <c r="E14" s="87" t="s">
        <v>523</v>
      </c>
      <c r="F14" s="88" t="s">
        <v>519</v>
      </c>
      <c r="G14" s="88" t="s">
        <v>36</v>
      </c>
      <c r="H14" s="88" t="s">
        <v>37</v>
      </c>
      <c r="I14" s="88" t="s">
        <v>38</v>
      </c>
      <c r="J14" s="88" t="s">
        <v>109</v>
      </c>
      <c r="K14" s="88" t="s">
        <v>110</v>
      </c>
      <c r="L14" s="47">
        <v>43739</v>
      </c>
      <c r="M14" s="47">
        <v>43740</v>
      </c>
      <c r="N14" s="90">
        <f>444.88
/2</f>
        <v>222.44</v>
      </c>
      <c r="O14" s="90">
        <f>444.88
/2</f>
        <v>222.44</v>
      </c>
      <c r="P14" s="90">
        <f t="shared" si="0"/>
        <v>444.88</v>
      </c>
      <c r="Q14" s="88">
        <v>2</v>
      </c>
      <c r="R14" s="90">
        <v>120</v>
      </c>
      <c r="S14" s="88">
        <v>0</v>
      </c>
      <c r="T14" s="90">
        <v>0</v>
      </c>
      <c r="U14" s="90">
        <f t="shared" si="1"/>
        <v>240</v>
      </c>
      <c r="V14" s="90">
        <f t="shared" si="2"/>
        <v>684.88</v>
      </c>
      <c r="W14" s="90">
        <f t="shared" si="3"/>
        <v>684.88</v>
      </c>
      <c r="X14" s="88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49"/>
    </row>
    <row r="15" spans="1:47" s="39" customFormat="1" ht="38.25">
      <c r="A15" s="97" t="s">
        <v>371</v>
      </c>
      <c r="B15" s="97" t="s">
        <v>371</v>
      </c>
      <c r="C15" s="97" t="s">
        <v>79</v>
      </c>
      <c r="D15" s="29" t="s">
        <v>107</v>
      </c>
      <c r="E15" s="20" t="s">
        <v>80</v>
      </c>
      <c r="F15" s="88" t="s">
        <v>514</v>
      </c>
      <c r="G15" s="88" t="s">
        <v>36</v>
      </c>
      <c r="H15" s="88" t="s">
        <v>37</v>
      </c>
      <c r="I15" s="88" t="s">
        <v>38</v>
      </c>
      <c r="J15" s="88" t="s">
        <v>39</v>
      </c>
      <c r="K15" s="88" t="s">
        <v>40</v>
      </c>
      <c r="L15" s="47">
        <v>43761</v>
      </c>
      <c r="M15" s="47">
        <v>43763</v>
      </c>
      <c r="N15" s="90">
        <f>1482.08/2</f>
        <v>741.04</v>
      </c>
      <c r="O15" s="90">
        <f>1482.08/2</f>
        <v>741.04</v>
      </c>
      <c r="P15" s="90">
        <f t="shared" si="0"/>
        <v>1482.08</v>
      </c>
      <c r="Q15" s="88">
        <v>0</v>
      </c>
      <c r="R15" s="90">
        <v>0</v>
      </c>
      <c r="S15" s="88">
        <v>0</v>
      </c>
      <c r="T15" s="90">
        <v>0</v>
      </c>
      <c r="U15" s="90">
        <f t="shared" si="1"/>
        <v>0</v>
      </c>
      <c r="V15" s="90">
        <f t="shared" si="2"/>
        <v>1482.08</v>
      </c>
      <c r="W15" s="90">
        <f t="shared" si="3"/>
        <v>1482.08</v>
      </c>
      <c r="X15" s="88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49"/>
    </row>
    <row r="16" spans="1:47" s="39" customFormat="1" ht="25.5">
      <c r="A16" s="97" t="s">
        <v>371</v>
      </c>
      <c r="B16" s="97" t="s">
        <v>396</v>
      </c>
      <c r="C16" s="97" t="s">
        <v>267</v>
      </c>
      <c r="D16" s="29" t="s">
        <v>145</v>
      </c>
      <c r="E16" s="20" t="s">
        <v>399</v>
      </c>
      <c r="F16" s="88" t="s">
        <v>268</v>
      </c>
      <c r="G16" s="88" t="s">
        <v>36</v>
      </c>
      <c r="H16" s="88" t="s">
        <v>37</v>
      </c>
      <c r="I16" s="88" t="s">
        <v>38</v>
      </c>
      <c r="J16" s="88" t="s">
        <v>39</v>
      </c>
      <c r="K16" s="88" t="s">
        <v>40</v>
      </c>
      <c r="L16" s="47">
        <v>43761</v>
      </c>
      <c r="M16" s="47">
        <v>43763</v>
      </c>
      <c r="N16" s="90">
        <f>1749.38/2</f>
        <v>874.69</v>
      </c>
      <c r="O16" s="90">
        <f>1749.38/2</f>
        <v>874.69</v>
      </c>
      <c r="P16" s="90">
        <f t="shared" si="0"/>
        <v>1749.38</v>
      </c>
      <c r="Q16" s="88">
        <v>3</v>
      </c>
      <c r="R16" s="90">
        <v>120</v>
      </c>
      <c r="S16" s="88">
        <v>0</v>
      </c>
      <c r="T16" s="90">
        <v>0</v>
      </c>
      <c r="U16" s="90">
        <f t="shared" si="1"/>
        <v>360</v>
      </c>
      <c r="V16" s="90">
        <f t="shared" si="2"/>
        <v>2109.38</v>
      </c>
      <c r="W16" s="90">
        <f t="shared" si="3"/>
        <v>2109.38</v>
      </c>
      <c r="X16" s="88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49"/>
    </row>
    <row r="17" spans="1:47" s="39" customFormat="1" ht="25.5">
      <c r="A17" s="97" t="s">
        <v>231</v>
      </c>
      <c r="B17" s="97" t="s">
        <v>221</v>
      </c>
      <c r="C17" s="97" t="s">
        <v>54</v>
      </c>
      <c r="D17" s="29" t="s">
        <v>88</v>
      </c>
      <c r="E17" s="20" t="s">
        <v>55</v>
      </c>
      <c r="F17" s="88" t="s">
        <v>514</v>
      </c>
      <c r="G17" s="88" t="s">
        <v>36</v>
      </c>
      <c r="H17" s="88" t="s">
        <v>37</v>
      </c>
      <c r="I17" s="88" t="s">
        <v>38</v>
      </c>
      <c r="J17" s="88" t="s">
        <v>39</v>
      </c>
      <c r="K17" s="88" t="s">
        <v>40</v>
      </c>
      <c r="L17" s="47">
        <v>43761</v>
      </c>
      <c r="M17" s="47">
        <v>43763</v>
      </c>
      <c r="N17" s="90">
        <f>1749.38/2</f>
        <v>874.69</v>
      </c>
      <c r="O17" s="90">
        <f>1749.38/2</f>
        <v>874.69</v>
      </c>
      <c r="P17" s="90">
        <f t="shared" si="0"/>
        <v>1749.38</v>
      </c>
      <c r="Q17" s="88">
        <v>6</v>
      </c>
      <c r="R17" s="90">
        <v>120</v>
      </c>
      <c r="S17" s="88">
        <v>0</v>
      </c>
      <c r="T17" s="90">
        <v>0</v>
      </c>
      <c r="U17" s="90">
        <f t="shared" si="1"/>
        <v>720</v>
      </c>
      <c r="V17" s="90">
        <f t="shared" si="2"/>
        <v>2469.38</v>
      </c>
      <c r="W17" s="90">
        <f t="shared" si="3"/>
        <v>2469.38</v>
      </c>
      <c r="X17" s="93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49"/>
    </row>
    <row r="18" spans="1:47" s="39" customFormat="1" ht="36.75" customHeight="1">
      <c r="A18" s="97" t="s">
        <v>253</v>
      </c>
      <c r="B18" s="97" t="s">
        <v>253</v>
      </c>
      <c r="C18" s="97" t="s">
        <v>486</v>
      </c>
      <c r="D18" s="86" t="s">
        <v>107</v>
      </c>
      <c r="E18" s="87" t="s">
        <v>50</v>
      </c>
      <c r="F18" s="88" t="s">
        <v>514</v>
      </c>
      <c r="G18" s="88" t="s">
        <v>36</v>
      </c>
      <c r="H18" s="88" t="s">
        <v>37</v>
      </c>
      <c r="I18" s="88" t="s">
        <v>38</v>
      </c>
      <c r="J18" s="88" t="s">
        <v>39</v>
      </c>
      <c r="K18" s="88" t="s">
        <v>40</v>
      </c>
      <c r="L18" s="47">
        <v>43761</v>
      </c>
      <c r="M18" s="47">
        <v>43763</v>
      </c>
      <c r="N18" s="90">
        <f>1651.7/2</f>
        <v>825.85</v>
      </c>
      <c r="O18" s="90">
        <f>1651.7/2</f>
        <v>825.85</v>
      </c>
      <c r="P18" s="90">
        <f t="shared" si="0"/>
        <v>1651.7</v>
      </c>
      <c r="Q18" s="88">
        <v>0</v>
      </c>
      <c r="R18" s="90">
        <v>0</v>
      </c>
      <c r="S18" s="88">
        <v>0</v>
      </c>
      <c r="T18" s="90">
        <v>0</v>
      </c>
      <c r="U18" s="90">
        <f t="shared" si="1"/>
        <v>0</v>
      </c>
      <c r="V18" s="90">
        <f t="shared" si="2"/>
        <v>1651.7</v>
      </c>
      <c r="W18" s="90">
        <f t="shared" si="3"/>
        <v>1651.7</v>
      </c>
      <c r="X18" s="93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49"/>
    </row>
    <row r="19" spans="1:47" s="39" customFormat="1" ht="38.25">
      <c r="A19" s="97" t="s">
        <v>231</v>
      </c>
      <c r="B19" s="97" t="s">
        <v>462</v>
      </c>
      <c r="C19" s="97" t="s">
        <v>158</v>
      </c>
      <c r="D19" s="29" t="s">
        <v>159</v>
      </c>
      <c r="E19" s="20" t="s">
        <v>160</v>
      </c>
      <c r="F19" s="88" t="s">
        <v>268</v>
      </c>
      <c r="G19" s="88" t="s">
        <v>36</v>
      </c>
      <c r="H19" s="88" t="s">
        <v>37</v>
      </c>
      <c r="I19" s="88" t="s">
        <v>38</v>
      </c>
      <c r="J19" s="88" t="s">
        <v>39</v>
      </c>
      <c r="K19" s="88" t="s">
        <v>40</v>
      </c>
      <c r="L19" s="47">
        <v>43761</v>
      </c>
      <c r="M19" s="47">
        <v>43763</v>
      </c>
      <c r="N19" s="90">
        <f>1749.38/2</f>
        <v>874.69</v>
      </c>
      <c r="O19" s="90">
        <f>1749.38/2</f>
        <v>874.69</v>
      </c>
      <c r="P19" s="90">
        <f t="shared" si="0"/>
        <v>1749.38</v>
      </c>
      <c r="Q19" s="88">
        <v>9</v>
      </c>
      <c r="R19" s="90">
        <v>120</v>
      </c>
      <c r="S19" s="88">
        <v>0</v>
      </c>
      <c r="T19" s="90">
        <v>0</v>
      </c>
      <c r="U19" s="90">
        <f t="shared" si="1"/>
        <v>1080</v>
      </c>
      <c r="V19" s="90">
        <f t="shared" si="2"/>
        <v>2829.38</v>
      </c>
      <c r="W19" s="90">
        <f t="shared" si="3"/>
        <v>2829.38</v>
      </c>
      <c r="X19" s="88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49"/>
    </row>
    <row r="20" spans="1:47" ht="30">
      <c r="A20" s="97" t="s">
        <v>512</v>
      </c>
      <c r="B20" s="97" t="s">
        <v>512</v>
      </c>
      <c r="C20" s="98" t="s">
        <v>524</v>
      </c>
      <c r="D20" s="86" t="s">
        <v>107</v>
      </c>
      <c r="E20" s="87" t="s">
        <v>50</v>
      </c>
      <c r="F20" s="88" t="s">
        <v>509</v>
      </c>
      <c r="G20" s="88" t="s">
        <v>36</v>
      </c>
      <c r="H20" s="88" t="s">
        <v>37</v>
      </c>
      <c r="I20" s="88" t="s">
        <v>38</v>
      </c>
      <c r="J20" s="88" t="s">
        <v>39</v>
      </c>
      <c r="K20" s="88" t="s">
        <v>40</v>
      </c>
      <c r="L20" s="47">
        <v>43745</v>
      </c>
      <c r="M20" s="47">
        <v>43746</v>
      </c>
      <c r="N20" s="90">
        <f>3008.18/2</f>
        <v>1504.09</v>
      </c>
      <c r="O20" s="90">
        <f>3008.18/2</f>
        <v>1504.09</v>
      </c>
      <c r="P20" s="90">
        <f t="shared" si="0"/>
        <v>3008.18</v>
      </c>
      <c r="Q20" s="88">
        <v>0</v>
      </c>
      <c r="R20" s="90">
        <v>0</v>
      </c>
      <c r="S20" s="88">
        <v>0</v>
      </c>
      <c r="T20" s="90">
        <v>0</v>
      </c>
      <c r="U20" s="90">
        <f t="shared" si="1"/>
        <v>0</v>
      </c>
      <c r="V20" s="90">
        <f t="shared" si="2"/>
        <v>3008.18</v>
      </c>
      <c r="W20" s="90">
        <f t="shared" si="3"/>
        <v>3008.18</v>
      </c>
      <c r="X20" s="88"/>
    </row>
    <row r="21" spans="1:47" ht="25.5">
      <c r="A21" s="97" t="s">
        <v>512</v>
      </c>
      <c r="B21" s="97" t="s">
        <v>512</v>
      </c>
      <c r="C21" s="97" t="s">
        <v>525</v>
      </c>
      <c r="D21" s="86" t="s">
        <v>321</v>
      </c>
      <c r="E21" s="20" t="s">
        <v>343</v>
      </c>
      <c r="F21" s="88" t="s">
        <v>509</v>
      </c>
      <c r="G21" s="88" t="s">
        <v>36</v>
      </c>
      <c r="H21" s="88" t="s">
        <v>37</v>
      </c>
      <c r="I21" s="88" t="s">
        <v>38</v>
      </c>
      <c r="J21" s="88" t="s">
        <v>39</v>
      </c>
      <c r="K21" s="88" t="s">
        <v>40</v>
      </c>
      <c r="L21" s="47">
        <v>43745</v>
      </c>
      <c r="M21" s="47">
        <v>43747</v>
      </c>
      <c r="N21" s="90">
        <f>3192.18/2</f>
        <v>1596.09</v>
      </c>
      <c r="O21" s="90">
        <f>3192.18/2</f>
        <v>1596.09</v>
      </c>
      <c r="P21" s="90">
        <f t="shared" si="0"/>
        <v>3192.18</v>
      </c>
      <c r="Q21" s="88">
        <v>3</v>
      </c>
      <c r="R21" s="90">
        <v>120</v>
      </c>
      <c r="S21" s="88">
        <v>0</v>
      </c>
      <c r="T21" s="90">
        <v>0</v>
      </c>
      <c r="U21" s="90">
        <f t="shared" si="1"/>
        <v>360</v>
      </c>
      <c r="V21" s="90">
        <f t="shared" si="2"/>
        <v>3552.18</v>
      </c>
      <c r="W21" s="90">
        <f t="shared" si="3"/>
        <v>3552.18</v>
      </c>
      <c r="X21" s="88"/>
    </row>
    <row r="22" spans="1:47" ht="25.5">
      <c r="A22" s="97" t="s">
        <v>371</v>
      </c>
      <c r="B22" s="97" t="s">
        <v>371</v>
      </c>
      <c r="C22" s="97" t="s">
        <v>137</v>
      </c>
      <c r="D22" s="29" t="s">
        <v>138</v>
      </c>
      <c r="E22" s="20" t="s">
        <v>343</v>
      </c>
      <c r="F22" s="88" t="s">
        <v>509</v>
      </c>
      <c r="G22" s="88" t="s">
        <v>36</v>
      </c>
      <c r="H22" s="88" t="s">
        <v>37</v>
      </c>
      <c r="I22" s="88" t="s">
        <v>38</v>
      </c>
      <c r="J22" s="88" t="s">
        <v>39</v>
      </c>
      <c r="K22" s="88" t="s">
        <v>40</v>
      </c>
      <c r="L22" s="47">
        <v>43745</v>
      </c>
      <c r="M22" s="47">
        <v>43747</v>
      </c>
      <c r="N22" s="90">
        <f>3097.18/2</f>
        <v>1548.59</v>
      </c>
      <c r="O22" s="90">
        <f>3097.18/2</f>
        <v>1548.59</v>
      </c>
      <c r="P22" s="90">
        <f t="shared" si="0"/>
        <v>3097.18</v>
      </c>
      <c r="Q22" s="88">
        <v>3</v>
      </c>
      <c r="R22" s="90">
        <v>120</v>
      </c>
      <c r="S22" s="88">
        <v>0</v>
      </c>
      <c r="T22" s="90">
        <v>0</v>
      </c>
      <c r="U22" s="90">
        <f t="shared" si="1"/>
        <v>360</v>
      </c>
      <c r="V22" s="90">
        <f t="shared" si="2"/>
        <v>3457.18</v>
      </c>
      <c r="W22" s="90">
        <f t="shared" si="3"/>
        <v>3457.18</v>
      </c>
      <c r="X22" s="88"/>
    </row>
    <row r="23" spans="1:47" ht="25.5">
      <c r="A23" s="97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88" t="s">
        <v>509</v>
      </c>
      <c r="G23" s="88" t="s">
        <v>36</v>
      </c>
      <c r="H23" s="88" t="s">
        <v>37</v>
      </c>
      <c r="I23" s="88" t="s">
        <v>38</v>
      </c>
      <c r="J23" s="88" t="s">
        <v>39</v>
      </c>
      <c r="K23" s="88" t="s">
        <v>40</v>
      </c>
      <c r="L23" s="47">
        <v>43745</v>
      </c>
      <c r="M23" s="47">
        <v>43746</v>
      </c>
      <c r="N23" s="90">
        <f>3104.58/2</f>
        <v>1552.29</v>
      </c>
      <c r="O23" s="90">
        <f>3104.58/2</f>
        <v>1552.29</v>
      </c>
      <c r="P23" s="90">
        <f t="shared" si="0"/>
        <v>3104.58</v>
      </c>
      <c r="Q23" s="88">
        <v>4</v>
      </c>
      <c r="R23" s="90">
        <v>120</v>
      </c>
      <c r="S23" s="88">
        <v>0</v>
      </c>
      <c r="T23" s="90">
        <v>0</v>
      </c>
      <c r="U23" s="90">
        <f t="shared" si="1"/>
        <v>480</v>
      </c>
      <c r="V23" s="90">
        <f t="shared" si="2"/>
        <v>3584.58</v>
      </c>
      <c r="W23" s="90">
        <f t="shared" si="3"/>
        <v>3584.58</v>
      </c>
      <c r="X23" s="88"/>
    </row>
    <row r="24" spans="1:47" ht="25.5">
      <c r="A24" s="97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88" t="s">
        <v>509</v>
      </c>
      <c r="G24" s="88" t="s">
        <v>36</v>
      </c>
      <c r="H24" s="88" t="s">
        <v>37</v>
      </c>
      <c r="I24" s="88" t="s">
        <v>38</v>
      </c>
      <c r="J24" s="88" t="s">
        <v>39</v>
      </c>
      <c r="K24" s="88" t="s">
        <v>40</v>
      </c>
      <c r="L24" s="47">
        <v>43745</v>
      </c>
      <c r="M24" s="47">
        <v>43747</v>
      </c>
      <c r="N24" s="90">
        <f>3097.18/2</f>
        <v>1548.59</v>
      </c>
      <c r="O24" s="90">
        <f>3097.18/2</f>
        <v>1548.59</v>
      </c>
      <c r="P24" s="90">
        <f t="shared" si="0"/>
        <v>3097.18</v>
      </c>
      <c r="Q24" s="88">
        <v>6</v>
      </c>
      <c r="R24" s="90">
        <v>120</v>
      </c>
      <c r="S24" s="88">
        <v>0</v>
      </c>
      <c r="T24" s="90">
        <v>0</v>
      </c>
      <c r="U24" s="90">
        <f t="shared" si="1"/>
        <v>720</v>
      </c>
      <c r="V24" s="90">
        <f t="shared" si="2"/>
        <v>3817.18</v>
      </c>
      <c r="W24" s="90">
        <f t="shared" si="3"/>
        <v>3817.18</v>
      </c>
      <c r="X24" s="88"/>
    </row>
    <row r="25" spans="1:47" ht="25.5">
      <c r="A25" s="97" t="s">
        <v>512</v>
      </c>
      <c r="B25" s="97" t="s">
        <v>288</v>
      </c>
      <c r="C25" s="97" t="s">
        <v>526</v>
      </c>
      <c r="D25" s="29" t="s">
        <v>527</v>
      </c>
      <c r="E25" s="20" t="s">
        <v>164</v>
      </c>
      <c r="F25" s="88" t="s">
        <v>528</v>
      </c>
      <c r="G25" s="88" t="s">
        <v>36</v>
      </c>
      <c r="H25" s="88" t="s">
        <v>37</v>
      </c>
      <c r="I25" s="88" t="s">
        <v>38</v>
      </c>
      <c r="J25" s="88" t="s">
        <v>39</v>
      </c>
      <c r="K25" s="88" t="s">
        <v>40</v>
      </c>
      <c r="L25" s="47">
        <v>43758</v>
      </c>
      <c r="M25" s="47">
        <v>43762</v>
      </c>
      <c r="N25" s="90">
        <f>2688.08
/2</f>
        <v>1344.04</v>
      </c>
      <c r="O25" s="90">
        <f>2688.08
/2</f>
        <v>1344.04</v>
      </c>
      <c r="P25" s="90">
        <f t="shared" si="0"/>
        <v>2688.08</v>
      </c>
      <c r="Q25" s="88">
        <v>5</v>
      </c>
      <c r="R25" s="90">
        <v>120</v>
      </c>
      <c r="S25" s="88">
        <v>0</v>
      </c>
      <c r="T25" s="90">
        <v>0</v>
      </c>
      <c r="U25" s="90">
        <f t="shared" si="1"/>
        <v>600</v>
      </c>
      <c r="V25" s="90">
        <f t="shared" si="2"/>
        <v>3288.08</v>
      </c>
      <c r="W25" s="90">
        <f t="shared" si="3"/>
        <v>3288.08</v>
      </c>
      <c r="X25" s="88"/>
    </row>
    <row r="26" spans="1:47" ht="51">
      <c r="A26" s="97" t="s">
        <v>512</v>
      </c>
      <c r="B26" s="97" t="s">
        <v>212</v>
      </c>
      <c r="C26" s="97" t="s">
        <v>404</v>
      </c>
      <c r="D26" s="29" t="s">
        <v>405</v>
      </c>
      <c r="E26" s="20" t="s">
        <v>406</v>
      </c>
      <c r="F26" s="88" t="s">
        <v>528</v>
      </c>
      <c r="G26" s="88" t="s">
        <v>36</v>
      </c>
      <c r="H26" s="88" t="s">
        <v>37</v>
      </c>
      <c r="I26" s="88" t="s">
        <v>38</v>
      </c>
      <c r="J26" s="88" t="s">
        <v>39</v>
      </c>
      <c r="K26" s="88" t="s">
        <v>40</v>
      </c>
      <c r="L26" s="47">
        <v>43758</v>
      </c>
      <c r="M26" s="47">
        <v>43762</v>
      </c>
      <c r="N26" s="90">
        <f>2410.88
/2</f>
        <v>1205.44</v>
      </c>
      <c r="O26" s="90">
        <f>2410.88
/2</f>
        <v>1205.44</v>
      </c>
      <c r="P26" s="90">
        <f t="shared" si="0"/>
        <v>2410.88</v>
      </c>
      <c r="Q26" s="88">
        <v>6</v>
      </c>
      <c r="R26" s="90">
        <v>120</v>
      </c>
      <c r="S26" s="88">
        <v>0</v>
      </c>
      <c r="T26" s="90">
        <v>0</v>
      </c>
      <c r="U26" s="90">
        <f t="shared" si="1"/>
        <v>720</v>
      </c>
      <c r="V26" s="90">
        <f t="shared" si="2"/>
        <v>3130.88</v>
      </c>
      <c r="W26" s="90">
        <f t="shared" si="3"/>
        <v>3130.88</v>
      </c>
      <c r="X26" s="88"/>
    </row>
    <row r="27" spans="1:47" ht="25.5">
      <c r="A27" s="97" t="s">
        <v>512</v>
      </c>
      <c r="B27" s="97" t="s">
        <v>288</v>
      </c>
      <c r="C27" s="97" t="s">
        <v>529</v>
      </c>
      <c r="D27" s="29" t="s">
        <v>530</v>
      </c>
      <c r="E27" s="20" t="s">
        <v>531</v>
      </c>
      <c r="F27" s="88" t="s">
        <v>528</v>
      </c>
      <c r="G27" s="88" t="s">
        <v>36</v>
      </c>
      <c r="H27" s="88" t="s">
        <v>37</v>
      </c>
      <c r="I27" s="88" t="s">
        <v>38</v>
      </c>
      <c r="J27" s="88" t="s">
        <v>39</v>
      </c>
      <c r="K27" s="88" t="s">
        <v>40</v>
      </c>
      <c r="L27" s="47">
        <v>43758</v>
      </c>
      <c r="M27" s="47">
        <v>43762</v>
      </c>
      <c r="N27" s="90">
        <f>2688.08
/2</f>
        <v>1344.04</v>
      </c>
      <c r="O27" s="90">
        <f>2688.08
/2</f>
        <v>1344.04</v>
      </c>
      <c r="P27" s="90">
        <f t="shared" si="0"/>
        <v>2688.08</v>
      </c>
      <c r="Q27" s="88">
        <v>5</v>
      </c>
      <c r="R27" s="90">
        <v>120</v>
      </c>
      <c r="S27" s="88">
        <v>0</v>
      </c>
      <c r="T27" s="90">
        <v>0</v>
      </c>
      <c r="U27" s="90">
        <f t="shared" si="1"/>
        <v>600</v>
      </c>
      <c r="V27" s="90">
        <f t="shared" si="2"/>
        <v>3288.08</v>
      </c>
      <c r="W27" s="90">
        <f t="shared" si="3"/>
        <v>3288.08</v>
      </c>
      <c r="X27" s="88"/>
    </row>
    <row r="28" spans="1:47" ht="25.5">
      <c r="A28" s="97" t="s">
        <v>231</v>
      </c>
      <c r="B28" s="97" t="s">
        <v>229</v>
      </c>
      <c r="C28" s="97" t="s">
        <v>246</v>
      </c>
      <c r="D28" s="86" t="s">
        <v>247</v>
      </c>
      <c r="E28" s="20" t="s">
        <v>341</v>
      </c>
      <c r="F28" s="88" t="s">
        <v>532</v>
      </c>
      <c r="G28" s="88" t="s">
        <v>36</v>
      </c>
      <c r="H28" s="88" t="s">
        <v>37</v>
      </c>
      <c r="I28" s="88" t="s">
        <v>38</v>
      </c>
      <c r="J28" s="88" t="s">
        <v>62</v>
      </c>
      <c r="K28" s="88" t="s">
        <v>63</v>
      </c>
      <c r="L28" s="47">
        <v>43744</v>
      </c>
      <c r="M28" s="47">
        <v>43746</v>
      </c>
      <c r="N28" s="90">
        <f>1582.42/2</f>
        <v>791.21</v>
      </c>
      <c r="O28" s="90">
        <f>1582.42/2</f>
        <v>791.21</v>
      </c>
      <c r="P28" s="90">
        <f t="shared" si="0"/>
        <v>1582.42</v>
      </c>
      <c r="Q28" s="88">
        <v>3</v>
      </c>
      <c r="R28" s="90">
        <v>120</v>
      </c>
      <c r="S28" s="88">
        <v>1</v>
      </c>
      <c r="T28" s="90">
        <v>250</v>
      </c>
      <c r="U28" s="90">
        <f t="shared" si="1"/>
        <v>610</v>
      </c>
      <c r="V28" s="90">
        <f t="shared" si="2"/>
        <v>2192.42</v>
      </c>
      <c r="W28" s="90">
        <f t="shared" si="3"/>
        <v>2192.42</v>
      </c>
      <c r="X28" s="88"/>
    </row>
    <row r="29" spans="1:47" ht="25.5">
      <c r="A29" s="97" t="s">
        <v>512</v>
      </c>
      <c r="B29" s="97" t="s">
        <v>212</v>
      </c>
      <c r="C29" s="97" t="s">
        <v>100</v>
      </c>
      <c r="D29" s="29" t="s">
        <v>101</v>
      </c>
      <c r="E29" s="20" t="s">
        <v>102</v>
      </c>
      <c r="F29" s="88" t="s">
        <v>533</v>
      </c>
      <c r="G29" s="88" t="s">
        <v>36</v>
      </c>
      <c r="H29" s="88" t="s">
        <v>37</v>
      </c>
      <c r="I29" s="88" t="s">
        <v>38</v>
      </c>
      <c r="J29" s="88" t="s">
        <v>62</v>
      </c>
      <c r="K29" s="88" t="s">
        <v>414</v>
      </c>
      <c r="L29" s="47">
        <v>43766</v>
      </c>
      <c r="M29" s="47">
        <v>43770</v>
      </c>
      <c r="N29" s="90">
        <f>2985.81/2</f>
        <v>1492.905</v>
      </c>
      <c r="O29" s="90">
        <f>2985.81/2</f>
        <v>1492.905</v>
      </c>
      <c r="P29" s="90">
        <f t="shared" si="0"/>
        <v>2985.81</v>
      </c>
      <c r="Q29" s="88">
        <v>5</v>
      </c>
      <c r="R29" s="90">
        <v>120</v>
      </c>
      <c r="S29" s="88">
        <v>4</v>
      </c>
      <c r="T29" s="90">
        <v>100</v>
      </c>
      <c r="U29" s="90">
        <f t="shared" si="1"/>
        <v>1000</v>
      </c>
      <c r="V29" s="90">
        <f t="shared" si="2"/>
        <v>3985.81</v>
      </c>
      <c r="W29" s="90">
        <f t="shared" si="3"/>
        <v>3985.81</v>
      </c>
      <c r="X29" s="88"/>
    </row>
    <row r="30" spans="1:47" ht="25.5">
      <c r="A30" s="97" t="s">
        <v>371</v>
      </c>
      <c r="B30" s="97" t="s">
        <v>240</v>
      </c>
      <c r="C30" s="97" t="s">
        <v>448</v>
      </c>
      <c r="D30" s="86" t="s">
        <v>460</v>
      </c>
      <c r="E30" s="20" t="s">
        <v>60</v>
      </c>
      <c r="F30" s="88" t="s">
        <v>534</v>
      </c>
      <c r="G30" s="88" t="s">
        <v>36</v>
      </c>
      <c r="H30" s="88" t="s">
        <v>37</v>
      </c>
      <c r="I30" s="88" t="s">
        <v>38</v>
      </c>
      <c r="J30" s="88" t="s">
        <v>39</v>
      </c>
      <c r="K30" s="88" t="s">
        <v>40</v>
      </c>
      <c r="L30" s="47">
        <v>43745</v>
      </c>
      <c r="M30" s="47">
        <v>43746</v>
      </c>
      <c r="N30" s="90">
        <f>1784.99/2</f>
        <v>892.495</v>
      </c>
      <c r="O30" s="90">
        <f>1784.99/2</f>
        <v>892.495</v>
      </c>
      <c r="P30" s="90">
        <f t="shared" si="0"/>
        <v>1784.99</v>
      </c>
      <c r="Q30" s="88">
        <v>4</v>
      </c>
      <c r="R30" s="90">
        <v>120</v>
      </c>
      <c r="S30" s="88">
        <v>0</v>
      </c>
      <c r="T30" s="90">
        <v>0</v>
      </c>
      <c r="U30" s="90">
        <f t="shared" si="1"/>
        <v>480</v>
      </c>
      <c r="V30" s="90">
        <f t="shared" si="2"/>
        <v>2264.9899999999998</v>
      </c>
      <c r="W30" s="90">
        <f t="shared" si="3"/>
        <v>2264.9899999999998</v>
      </c>
      <c r="X30" s="88"/>
    </row>
    <row r="31" spans="1:47" ht="25.5">
      <c r="A31" s="97" t="s">
        <v>512</v>
      </c>
      <c r="B31" s="97" t="s">
        <v>288</v>
      </c>
      <c r="C31" s="97" t="s">
        <v>289</v>
      </c>
      <c r="D31" s="29" t="s">
        <v>290</v>
      </c>
      <c r="E31" s="20" t="s">
        <v>535</v>
      </c>
      <c r="F31" s="88" t="s">
        <v>528</v>
      </c>
      <c r="G31" s="88" t="s">
        <v>36</v>
      </c>
      <c r="H31" s="88" t="s">
        <v>37</v>
      </c>
      <c r="I31" s="88" t="s">
        <v>38</v>
      </c>
      <c r="J31" s="88" t="s">
        <v>62</v>
      </c>
      <c r="K31" s="88" t="s">
        <v>63</v>
      </c>
      <c r="L31" s="47">
        <v>43744</v>
      </c>
      <c r="M31" s="47">
        <v>43749</v>
      </c>
      <c r="N31" s="90">
        <f>1879.42/2</f>
        <v>939.71</v>
      </c>
      <c r="O31" s="90">
        <f>1879.42/2</f>
        <v>939.71</v>
      </c>
      <c r="P31" s="90">
        <f t="shared" si="0"/>
        <v>1879.42</v>
      </c>
      <c r="Q31" s="88">
        <v>6</v>
      </c>
      <c r="R31" s="90">
        <v>120</v>
      </c>
      <c r="S31" s="88"/>
      <c r="T31" s="90"/>
      <c r="U31" s="90">
        <f t="shared" si="1"/>
        <v>720</v>
      </c>
      <c r="V31" s="90">
        <f t="shared" si="2"/>
        <v>2599.42</v>
      </c>
      <c r="W31" s="90">
        <f t="shared" si="3"/>
        <v>2599.42</v>
      </c>
      <c r="X31" s="88"/>
    </row>
    <row r="32" spans="1:47" ht="25.5">
      <c r="A32" s="97" t="s">
        <v>512</v>
      </c>
      <c r="B32" s="97" t="s">
        <v>288</v>
      </c>
      <c r="C32" s="97" t="s">
        <v>378</v>
      </c>
      <c r="D32" s="29" t="s">
        <v>379</v>
      </c>
      <c r="E32" s="20" t="s">
        <v>380</v>
      </c>
      <c r="F32" s="88" t="s">
        <v>536</v>
      </c>
      <c r="G32" s="88" t="s">
        <v>36</v>
      </c>
      <c r="H32" s="88" t="s">
        <v>37</v>
      </c>
      <c r="I32" s="88" t="s">
        <v>38</v>
      </c>
      <c r="J32" s="88" t="s">
        <v>62</v>
      </c>
      <c r="K32" s="88" t="s">
        <v>63</v>
      </c>
      <c r="L32" s="47">
        <v>43746</v>
      </c>
      <c r="M32" s="47">
        <v>43749</v>
      </c>
      <c r="N32" s="90">
        <f>1759.52/2</f>
        <v>879.76</v>
      </c>
      <c r="O32" s="90">
        <f>1759.52/2</f>
        <v>879.76</v>
      </c>
      <c r="P32" s="90">
        <f t="shared" si="0"/>
        <v>1759.52</v>
      </c>
      <c r="Q32" s="88">
        <v>4</v>
      </c>
      <c r="R32" s="90">
        <v>120</v>
      </c>
      <c r="S32" s="88"/>
      <c r="T32" s="90"/>
      <c r="U32" s="90">
        <f t="shared" si="1"/>
        <v>480</v>
      </c>
      <c r="V32" s="90">
        <f t="shared" si="2"/>
        <v>2239.52</v>
      </c>
      <c r="W32" s="90">
        <f t="shared" si="3"/>
        <v>2239.52</v>
      </c>
      <c r="X32" s="88"/>
    </row>
    <row r="33" spans="1:24">
      <c r="A33" s="88"/>
      <c r="B33" s="97"/>
      <c r="C33" s="97"/>
      <c r="D33" s="29"/>
      <c r="E33" s="20"/>
      <c r="F33" s="88"/>
      <c r="G33" s="88"/>
      <c r="H33" s="88"/>
      <c r="I33" s="88"/>
      <c r="J33" s="88"/>
      <c r="K33" s="88"/>
      <c r="L33" s="47"/>
      <c r="M33" s="47"/>
      <c r="N33" s="90"/>
      <c r="O33" s="90"/>
      <c r="P33" s="90">
        <f t="shared" si="0"/>
        <v>0</v>
      </c>
      <c r="Q33" s="88"/>
      <c r="R33" s="90"/>
      <c r="S33" s="88"/>
      <c r="T33" s="90"/>
      <c r="U33" s="90">
        <f t="shared" si="1"/>
        <v>0</v>
      </c>
      <c r="V33" s="90">
        <f t="shared" si="2"/>
        <v>0</v>
      </c>
      <c r="W33" s="90">
        <f t="shared" si="3"/>
        <v>0</v>
      </c>
      <c r="X33" s="88"/>
    </row>
    <row r="34" spans="1:24">
      <c r="A34" s="88"/>
      <c r="B34" s="97"/>
      <c r="C34" s="97"/>
      <c r="D34" s="29"/>
      <c r="E34" s="20"/>
      <c r="F34" s="88"/>
      <c r="G34" s="88"/>
      <c r="H34" s="88"/>
      <c r="I34" s="88"/>
      <c r="J34" s="88"/>
      <c r="K34" s="88"/>
      <c r="L34" s="47"/>
      <c r="M34" s="47"/>
      <c r="N34" s="90"/>
      <c r="O34" s="90"/>
      <c r="P34" s="90">
        <f t="shared" si="0"/>
        <v>0</v>
      </c>
      <c r="Q34" s="88"/>
      <c r="R34" s="90"/>
      <c r="S34" s="88"/>
      <c r="T34" s="90"/>
      <c r="U34" s="90">
        <f t="shared" si="1"/>
        <v>0</v>
      </c>
      <c r="V34" s="90">
        <f t="shared" si="2"/>
        <v>0</v>
      </c>
      <c r="W34" s="90">
        <f t="shared" si="3"/>
        <v>0</v>
      </c>
      <c r="X34" s="88"/>
    </row>
    <row r="35" spans="1:24">
      <c r="A35" s="88"/>
      <c r="B35" s="97"/>
      <c r="C35" s="97"/>
      <c r="D35" s="29"/>
      <c r="E35" s="20"/>
      <c r="F35" s="88"/>
      <c r="G35" s="88"/>
      <c r="H35" s="88"/>
      <c r="I35" s="88"/>
      <c r="J35" s="88"/>
      <c r="K35" s="88"/>
      <c r="L35" s="47"/>
      <c r="M35" s="47"/>
      <c r="N35" s="90"/>
      <c r="O35" s="90"/>
      <c r="P35" s="90">
        <f t="shared" si="0"/>
        <v>0</v>
      </c>
      <c r="Q35" s="88"/>
      <c r="R35" s="90"/>
      <c r="S35" s="88"/>
      <c r="T35" s="90"/>
      <c r="U35" s="90">
        <f t="shared" si="1"/>
        <v>0</v>
      </c>
      <c r="V35" s="90">
        <f t="shared" si="2"/>
        <v>0</v>
      </c>
      <c r="W35" s="90">
        <f t="shared" si="3"/>
        <v>0</v>
      </c>
      <c r="X35" s="88"/>
    </row>
    <row r="36" spans="1:24">
      <c r="A36" s="88"/>
      <c r="B36" s="97"/>
      <c r="C36" s="97"/>
      <c r="D36" s="29"/>
      <c r="E36" s="20"/>
      <c r="F36" s="88"/>
      <c r="G36" s="88"/>
      <c r="H36" s="88"/>
      <c r="I36" s="88"/>
      <c r="J36" s="88"/>
      <c r="K36" s="88"/>
      <c r="L36" s="47"/>
      <c r="M36" s="47"/>
      <c r="N36" s="90"/>
      <c r="O36" s="90"/>
      <c r="P36" s="90">
        <f t="shared" si="0"/>
        <v>0</v>
      </c>
      <c r="Q36" s="88"/>
      <c r="R36" s="90"/>
      <c r="S36" s="88"/>
      <c r="T36" s="90"/>
      <c r="U36" s="90">
        <f t="shared" si="1"/>
        <v>0</v>
      </c>
      <c r="V36" s="90">
        <f t="shared" si="2"/>
        <v>0</v>
      </c>
      <c r="W36" s="90">
        <f t="shared" si="3"/>
        <v>0</v>
      </c>
      <c r="X36" s="88"/>
    </row>
    <row r="37" spans="1:24">
      <c r="A37" s="88"/>
      <c r="B37" s="97"/>
      <c r="C37" s="97"/>
      <c r="D37" s="29"/>
      <c r="E37" s="20"/>
      <c r="F37" s="88"/>
      <c r="G37" s="88"/>
      <c r="H37" s="88"/>
      <c r="I37" s="88"/>
      <c r="J37" s="88"/>
      <c r="K37" s="88"/>
      <c r="L37" s="47"/>
      <c r="M37" s="47"/>
      <c r="N37" s="90"/>
      <c r="O37" s="90"/>
      <c r="P37" s="90">
        <f t="shared" si="0"/>
        <v>0</v>
      </c>
      <c r="Q37" s="88"/>
      <c r="R37" s="90"/>
      <c r="S37" s="88"/>
      <c r="T37" s="90"/>
      <c r="U37" s="90">
        <f t="shared" si="1"/>
        <v>0</v>
      </c>
      <c r="V37" s="90">
        <f t="shared" si="2"/>
        <v>0</v>
      </c>
      <c r="W37" s="90">
        <f t="shared" si="3"/>
        <v>0</v>
      </c>
      <c r="X37" s="8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50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48">
        <v>43586</v>
      </c>
    </row>
    <row r="6" spans="1:46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6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46" s="39" customFormat="1" ht="25.5">
      <c r="A10" s="97" t="s">
        <v>231</v>
      </c>
      <c r="B10" s="97" t="s">
        <v>221</v>
      </c>
      <c r="C10" s="53" t="s">
        <v>54</v>
      </c>
      <c r="D10" s="29" t="s">
        <v>88</v>
      </c>
      <c r="E10" s="20" t="s">
        <v>55</v>
      </c>
      <c r="F10" s="88" t="s">
        <v>537</v>
      </c>
      <c r="G10" s="88" t="s">
        <v>36</v>
      </c>
      <c r="H10" s="88" t="s">
        <v>37</v>
      </c>
      <c r="I10" s="88" t="s">
        <v>38</v>
      </c>
      <c r="J10" s="88" t="s">
        <v>62</v>
      </c>
      <c r="K10" s="88" t="s">
        <v>63</v>
      </c>
      <c r="L10" s="47">
        <v>43793</v>
      </c>
      <c r="M10" s="47">
        <v>43795</v>
      </c>
      <c r="N10" s="90">
        <f>1141.48/2</f>
        <v>570.74</v>
      </c>
      <c r="O10" s="90">
        <f>1141.48/2</f>
        <v>570.74</v>
      </c>
      <c r="P10" s="90">
        <f t="shared" ref="P10:P27" si="0">SUM(N10:O10)</f>
        <v>1141.48</v>
      </c>
      <c r="Q10" s="88">
        <v>6</v>
      </c>
      <c r="R10" s="90">
        <v>120</v>
      </c>
      <c r="S10" s="88">
        <v>0</v>
      </c>
      <c r="T10" s="90">
        <v>0</v>
      </c>
      <c r="U10" s="90">
        <f>(Q10*R10)+(S10*T10)</f>
        <v>720</v>
      </c>
      <c r="V10" s="90">
        <f>U10+P10</f>
        <v>1861.48</v>
      </c>
      <c r="W10" s="90">
        <f>V10</f>
        <v>1861.48</v>
      </c>
      <c r="X10" s="88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</row>
    <row r="11" spans="1:46" s="39" customFormat="1" ht="25.5">
      <c r="A11" s="97" t="s">
        <v>512</v>
      </c>
      <c r="B11" s="97" t="s">
        <v>212</v>
      </c>
      <c r="C11" s="97" t="s">
        <v>41</v>
      </c>
      <c r="D11" s="29" t="s">
        <v>171</v>
      </c>
      <c r="E11" s="20" t="s">
        <v>42</v>
      </c>
      <c r="F11" s="88" t="s">
        <v>538</v>
      </c>
      <c r="G11" s="88" t="s">
        <v>36</v>
      </c>
      <c r="H11" s="88" t="s">
        <v>37</v>
      </c>
      <c r="I11" s="88" t="s">
        <v>38</v>
      </c>
      <c r="J11" s="88" t="s">
        <v>37</v>
      </c>
      <c r="K11" s="88" t="s">
        <v>391</v>
      </c>
      <c r="L11" s="47">
        <v>43773</v>
      </c>
      <c r="M11" s="47">
        <v>43775</v>
      </c>
      <c r="N11" s="90">
        <f t="shared" ref="N11:O13" si="1">1253.63/2</f>
        <v>626.81500000000005</v>
      </c>
      <c r="O11" s="90">
        <f t="shared" si="1"/>
        <v>626.81500000000005</v>
      </c>
      <c r="P11" s="90">
        <f t="shared" si="0"/>
        <v>1253.6300000000001</v>
      </c>
      <c r="Q11" s="88">
        <v>3</v>
      </c>
      <c r="R11" s="90">
        <v>120</v>
      </c>
      <c r="S11" s="88">
        <v>0</v>
      </c>
      <c r="T11" s="90">
        <v>0</v>
      </c>
      <c r="U11" s="90">
        <f t="shared" ref="U11:U27" si="2">(Q11*R11)+(S11*T11)</f>
        <v>360</v>
      </c>
      <c r="V11" s="90">
        <f t="shared" ref="V11:V27" si="3">U11+P11</f>
        <v>1613.63</v>
      </c>
      <c r="W11" s="90">
        <f t="shared" ref="W11:W27" si="4">V11</f>
        <v>1613.63</v>
      </c>
      <c r="X11" s="88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</row>
    <row r="12" spans="1:46" s="39" customFormat="1" ht="25.5">
      <c r="A12" s="97" t="s">
        <v>512</v>
      </c>
      <c r="B12" s="97" t="s">
        <v>212</v>
      </c>
      <c r="C12" s="52" t="s">
        <v>387</v>
      </c>
      <c r="D12" s="86" t="s">
        <v>388</v>
      </c>
      <c r="E12" s="20" t="s">
        <v>34</v>
      </c>
      <c r="F12" s="88" t="s">
        <v>538</v>
      </c>
      <c r="G12" s="88" t="s">
        <v>36</v>
      </c>
      <c r="H12" s="88" t="s">
        <v>37</v>
      </c>
      <c r="I12" s="88" t="s">
        <v>38</v>
      </c>
      <c r="J12" s="88" t="s">
        <v>37</v>
      </c>
      <c r="K12" s="88" t="s">
        <v>391</v>
      </c>
      <c r="L12" s="47">
        <v>43773</v>
      </c>
      <c r="M12" s="47">
        <v>43775</v>
      </c>
      <c r="N12" s="90">
        <f t="shared" si="1"/>
        <v>626.81500000000005</v>
      </c>
      <c r="O12" s="90">
        <f t="shared" si="1"/>
        <v>626.81500000000005</v>
      </c>
      <c r="P12" s="90">
        <f t="shared" si="0"/>
        <v>1253.6300000000001</v>
      </c>
      <c r="Q12" s="88">
        <v>3</v>
      </c>
      <c r="R12" s="90">
        <v>120</v>
      </c>
      <c r="S12" s="88">
        <v>5</v>
      </c>
      <c r="T12" s="90">
        <v>100</v>
      </c>
      <c r="U12" s="90">
        <f t="shared" si="2"/>
        <v>860</v>
      </c>
      <c r="V12" s="90">
        <f t="shared" si="3"/>
        <v>2113.63</v>
      </c>
      <c r="W12" s="90">
        <f t="shared" si="4"/>
        <v>2113.63</v>
      </c>
      <c r="X12" s="88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</row>
    <row r="13" spans="1:46" s="39" customFormat="1" ht="25.5">
      <c r="A13" s="97" t="s">
        <v>512</v>
      </c>
      <c r="B13" s="97" t="s">
        <v>212</v>
      </c>
      <c r="C13" s="98" t="s">
        <v>539</v>
      </c>
      <c r="D13" s="29" t="s">
        <v>540</v>
      </c>
      <c r="E13" s="20" t="s">
        <v>541</v>
      </c>
      <c r="F13" s="88" t="s">
        <v>538</v>
      </c>
      <c r="G13" s="88" t="s">
        <v>36</v>
      </c>
      <c r="H13" s="88" t="s">
        <v>37</v>
      </c>
      <c r="I13" s="88" t="s">
        <v>38</v>
      </c>
      <c r="J13" s="88" t="s">
        <v>37</v>
      </c>
      <c r="K13" s="88" t="s">
        <v>391</v>
      </c>
      <c r="L13" s="47">
        <v>43773</v>
      </c>
      <c r="M13" s="47">
        <v>43775</v>
      </c>
      <c r="N13" s="90">
        <f t="shared" si="1"/>
        <v>626.81500000000005</v>
      </c>
      <c r="O13" s="90">
        <f t="shared" si="1"/>
        <v>626.81500000000005</v>
      </c>
      <c r="P13" s="90">
        <f t="shared" si="0"/>
        <v>1253.6300000000001</v>
      </c>
      <c r="Q13" s="88">
        <v>3</v>
      </c>
      <c r="R13" s="90">
        <v>120</v>
      </c>
      <c r="S13" s="88">
        <v>0</v>
      </c>
      <c r="T13" s="90">
        <v>0</v>
      </c>
      <c r="U13" s="90">
        <f t="shared" si="2"/>
        <v>360</v>
      </c>
      <c r="V13" s="90">
        <f t="shared" si="3"/>
        <v>1613.63</v>
      </c>
      <c r="W13" s="90">
        <f t="shared" si="4"/>
        <v>1613.63</v>
      </c>
      <c r="X13" s="88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</row>
    <row r="14" spans="1:46" s="39" customFormat="1" ht="25.5">
      <c r="A14" s="97" t="s">
        <v>512</v>
      </c>
      <c r="B14" s="97" t="s">
        <v>512</v>
      </c>
      <c r="C14" s="97" t="s">
        <v>486</v>
      </c>
      <c r="D14" s="86" t="s">
        <v>107</v>
      </c>
      <c r="E14" s="87" t="s">
        <v>50</v>
      </c>
      <c r="F14" s="88" t="s">
        <v>108</v>
      </c>
      <c r="G14" s="88" t="s">
        <v>36</v>
      </c>
      <c r="H14" s="88" t="s">
        <v>37</v>
      </c>
      <c r="I14" s="88" t="s">
        <v>38</v>
      </c>
      <c r="J14" s="88" t="s">
        <v>109</v>
      </c>
      <c r="K14" s="88" t="s">
        <v>110</v>
      </c>
      <c r="L14" s="47">
        <v>43773</v>
      </c>
      <c r="M14" s="47">
        <v>43773</v>
      </c>
      <c r="N14" s="90">
        <f>803.27/2</f>
        <v>401.63499999999999</v>
      </c>
      <c r="O14" s="90">
        <f>803.27/2</f>
        <v>401.63499999999999</v>
      </c>
      <c r="P14" s="90">
        <f t="shared" si="0"/>
        <v>803.27</v>
      </c>
      <c r="Q14" s="88">
        <v>0</v>
      </c>
      <c r="R14" s="90">
        <v>0</v>
      </c>
      <c r="S14" s="88">
        <v>0</v>
      </c>
      <c r="T14" s="90">
        <v>0</v>
      </c>
      <c r="U14" s="90">
        <f t="shared" si="2"/>
        <v>0</v>
      </c>
      <c r="V14" s="90">
        <f t="shared" si="3"/>
        <v>803.27</v>
      </c>
      <c r="W14" s="90">
        <f t="shared" si="4"/>
        <v>803.27</v>
      </c>
      <c r="X14" s="88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</row>
    <row r="15" spans="1:46" s="39" customFormat="1">
      <c r="A15" s="97" t="s">
        <v>371</v>
      </c>
      <c r="B15" s="97" t="s">
        <v>273</v>
      </c>
      <c r="C15" s="97" t="s">
        <v>201</v>
      </c>
      <c r="D15" s="29" t="s">
        <v>202</v>
      </c>
      <c r="E15" s="20" t="s">
        <v>348</v>
      </c>
      <c r="F15" s="88" t="s">
        <v>542</v>
      </c>
      <c r="G15" s="88" t="s">
        <v>36</v>
      </c>
      <c r="H15" s="88" t="s">
        <v>37</v>
      </c>
      <c r="I15" s="88" t="s">
        <v>38</v>
      </c>
      <c r="J15" s="88" t="s">
        <v>39</v>
      </c>
      <c r="K15" s="88" t="s">
        <v>40</v>
      </c>
      <c r="L15" s="47">
        <v>43795</v>
      </c>
      <c r="M15" s="47">
        <v>43798</v>
      </c>
      <c r="N15" s="90">
        <f>1618.88/2</f>
        <v>809.44</v>
      </c>
      <c r="O15" s="90">
        <f>1618.88/2</f>
        <v>809.44</v>
      </c>
      <c r="P15" s="90">
        <f t="shared" si="0"/>
        <v>1618.88</v>
      </c>
      <c r="Q15" s="88">
        <v>4</v>
      </c>
      <c r="R15" s="90">
        <v>120</v>
      </c>
      <c r="S15" s="88">
        <v>3</v>
      </c>
      <c r="T15" s="90">
        <v>100</v>
      </c>
      <c r="U15" s="90">
        <f t="shared" si="2"/>
        <v>780</v>
      </c>
      <c r="V15" s="90">
        <f t="shared" si="3"/>
        <v>2398.88</v>
      </c>
      <c r="W15" s="90">
        <f t="shared" si="4"/>
        <v>2398.88</v>
      </c>
      <c r="X15" s="88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</row>
    <row r="16" spans="1:46" s="39" customFormat="1" ht="25.5">
      <c r="A16" s="97" t="s">
        <v>371</v>
      </c>
      <c r="B16" s="97" t="s">
        <v>273</v>
      </c>
      <c r="C16" s="97" t="s">
        <v>195</v>
      </c>
      <c r="D16" s="29" t="s">
        <v>145</v>
      </c>
      <c r="E16" s="20" t="s">
        <v>399</v>
      </c>
      <c r="F16" s="88" t="s">
        <v>542</v>
      </c>
      <c r="G16" s="88" t="s">
        <v>36</v>
      </c>
      <c r="H16" s="88" t="s">
        <v>37</v>
      </c>
      <c r="I16" s="88" t="s">
        <v>38</v>
      </c>
      <c r="J16" s="88" t="s">
        <v>39</v>
      </c>
      <c r="K16" s="88" t="s">
        <v>40</v>
      </c>
      <c r="L16" s="47">
        <v>43795</v>
      </c>
      <c r="M16" s="47">
        <v>43798</v>
      </c>
      <c r="N16" s="90">
        <f>1618.88/2</f>
        <v>809.44</v>
      </c>
      <c r="O16" s="90">
        <f>1618.88/2</f>
        <v>809.44</v>
      </c>
      <c r="P16" s="90">
        <f t="shared" si="0"/>
        <v>1618.88</v>
      </c>
      <c r="Q16" s="88">
        <v>4</v>
      </c>
      <c r="R16" s="90">
        <v>120</v>
      </c>
      <c r="S16" s="88">
        <v>0</v>
      </c>
      <c r="T16" s="90">
        <v>0</v>
      </c>
      <c r="U16" s="90">
        <f t="shared" si="2"/>
        <v>480</v>
      </c>
      <c r="V16" s="90">
        <f t="shared" si="3"/>
        <v>2098.88</v>
      </c>
      <c r="W16" s="90">
        <f t="shared" si="4"/>
        <v>2098.88</v>
      </c>
      <c r="X16" s="88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</row>
    <row r="17" spans="1:46" s="39" customFormat="1" ht="25.5">
      <c r="A17" s="97" t="s">
        <v>253</v>
      </c>
      <c r="B17" s="97" t="s">
        <v>253</v>
      </c>
      <c r="C17" s="97" t="s">
        <v>486</v>
      </c>
      <c r="D17" s="86" t="s">
        <v>107</v>
      </c>
      <c r="E17" s="87" t="s">
        <v>50</v>
      </c>
      <c r="F17" s="88" t="s">
        <v>543</v>
      </c>
      <c r="G17" s="88" t="s">
        <v>36</v>
      </c>
      <c r="H17" s="88" t="s">
        <v>37</v>
      </c>
      <c r="I17" s="88" t="s">
        <v>38</v>
      </c>
      <c r="J17" s="88" t="s">
        <v>37</v>
      </c>
      <c r="K17" s="88" t="s">
        <v>391</v>
      </c>
      <c r="L17" s="47">
        <v>43780</v>
      </c>
      <c r="M17" s="47">
        <v>43782</v>
      </c>
      <c r="N17" s="90">
        <f>1017.28/2</f>
        <v>508.64</v>
      </c>
      <c r="O17" s="90">
        <f>1017.28/2</f>
        <v>508.64</v>
      </c>
      <c r="P17" s="90">
        <f t="shared" si="0"/>
        <v>1017.28</v>
      </c>
      <c r="Q17" s="88">
        <v>0</v>
      </c>
      <c r="R17" s="90">
        <v>0</v>
      </c>
      <c r="S17" s="88">
        <v>0</v>
      </c>
      <c r="T17" s="90">
        <v>0</v>
      </c>
      <c r="U17" s="90">
        <f t="shared" si="2"/>
        <v>0</v>
      </c>
      <c r="V17" s="90">
        <f t="shared" si="3"/>
        <v>1017.28</v>
      </c>
      <c r="W17" s="90">
        <f t="shared" si="4"/>
        <v>1017.28</v>
      </c>
      <c r="X17" s="93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</row>
    <row r="18" spans="1:46" s="39" customFormat="1" ht="36.75" customHeight="1">
      <c r="A18" s="97" t="s">
        <v>253</v>
      </c>
      <c r="B18" s="97" t="s">
        <v>253</v>
      </c>
      <c r="C18" s="97" t="s">
        <v>320</v>
      </c>
      <c r="D18" s="86" t="s">
        <v>321</v>
      </c>
      <c r="E18" s="20" t="s">
        <v>343</v>
      </c>
      <c r="F18" s="88" t="s">
        <v>543</v>
      </c>
      <c r="G18" s="88" t="s">
        <v>36</v>
      </c>
      <c r="H18" s="88" t="s">
        <v>37</v>
      </c>
      <c r="I18" s="88" t="s">
        <v>38</v>
      </c>
      <c r="J18" s="88" t="s">
        <v>37</v>
      </c>
      <c r="K18" s="88" t="s">
        <v>391</v>
      </c>
      <c r="L18" s="47">
        <v>43780</v>
      </c>
      <c r="M18" s="47">
        <v>43782</v>
      </c>
      <c r="N18" s="90">
        <f>1076.12/2</f>
        <v>538.05999999999995</v>
      </c>
      <c r="O18" s="90">
        <f>1076.12/2</f>
        <v>538.05999999999995</v>
      </c>
      <c r="P18" s="90">
        <f t="shared" si="0"/>
        <v>1076.1199999999999</v>
      </c>
      <c r="Q18" s="88">
        <v>3</v>
      </c>
      <c r="R18" s="90">
        <v>120</v>
      </c>
      <c r="S18" s="88">
        <v>0</v>
      </c>
      <c r="T18" s="90">
        <v>0</v>
      </c>
      <c r="U18" s="90">
        <f t="shared" si="2"/>
        <v>360</v>
      </c>
      <c r="V18" s="90">
        <f t="shared" si="3"/>
        <v>1436.12</v>
      </c>
      <c r="W18" s="90">
        <f t="shared" si="4"/>
        <v>1436.12</v>
      </c>
      <c r="X18" s="93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</row>
    <row r="19" spans="1:46" s="39" customFormat="1" ht="25.5">
      <c r="A19" s="97" t="s">
        <v>231</v>
      </c>
      <c r="B19" s="97" t="s">
        <v>544</v>
      </c>
      <c r="C19" s="97" t="s">
        <v>545</v>
      </c>
      <c r="D19" s="29" t="s">
        <v>546</v>
      </c>
      <c r="E19" s="20" t="s">
        <v>547</v>
      </c>
      <c r="F19" s="88" t="s">
        <v>543</v>
      </c>
      <c r="G19" s="88" t="s">
        <v>36</v>
      </c>
      <c r="H19" s="88" t="s">
        <v>37</v>
      </c>
      <c r="I19" s="88" t="s">
        <v>38</v>
      </c>
      <c r="J19" s="88" t="s">
        <v>37</v>
      </c>
      <c r="K19" s="88" t="s">
        <v>391</v>
      </c>
      <c r="L19" s="47">
        <v>43780</v>
      </c>
      <c r="M19" s="47">
        <v>43782</v>
      </c>
      <c r="N19" s="90">
        <f>1253.63/2</f>
        <v>626.81500000000005</v>
      </c>
      <c r="O19" s="90">
        <f>1253.63/2</f>
        <v>626.81500000000005</v>
      </c>
      <c r="P19" s="90">
        <f t="shared" si="0"/>
        <v>1253.6300000000001</v>
      </c>
      <c r="Q19" s="88">
        <v>3</v>
      </c>
      <c r="R19" s="90">
        <v>120</v>
      </c>
      <c r="S19" s="88">
        <v>0</v>
      </c>
      <c r="T19" s="90">
        <v>0</v>
      </c>
      <c r="U19" s="90">
        <f t="shared" si="2"/>
        <v>360</v>
      </c>
      <c r="V19" s="90">
        <f t="shared" si="3"/>
        <v>1613.63</v>
      </c>
      <c r="W19" s="90">
        <f t="shared" si="4"/>
        <v>1613.63</v>
      </c>
      <c r="X19" s="88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</row>
    <row r="20" spans="1:46" ht="38.25">
      <c r="A20" s="97" t="s">
        <v>371</v>
      </c>
      <c r="B20" s="97" t="s">
        <v>371</v>
      </c>
      <c r="C20" s="98" t="s">
        <v>79</v>
      </c>
      <c r="D20" s="29" t="s">
        <v>107</v>
      </c>
      <c r="E20" s="20" t="s">
        <v>80</v>
      </c>
      <c r="F20" s="88" t="s">
        <v>548</v>
      </c>
      <c r="G20" s="88" t="s">
        <v>36</v>
      </c>
      <c r="H20" s="88" t="s">
        <v>37</v>
      </c>
      <c r="I20" s="88" t="s">
        <v>38</v>
      </c>
      <c r="J20" s="88" t="s">
        <v>39</v>
      </c>
      <c r="K20" s="88" t="s">
        <v>40</v>
      </c>
      <c r="L20" s="47">
        <v>43789</v>
      </c>
      <c r="M20" s="47">
        <v>43790</v>
      </c>
      <c r="N20" s="90">
        <f>1519.88/2</f>
        <v>759.94</v>
      </c>
      <c r="O20" s="90">
        <f>1519.88/2</f>
        <v>759.94</v>
      </c>
      <c r="P20" s="90">
        <f t="shared" si="0"/>
        <v>1519.88</v>
      </c>
      <c r="Q20" s="88">
        <v>0</v>
      </c>
      <c r="R20" s="90">
        <v>0</v>
      </c>
      <c r="S20" s="88">
        <v>0</v>
      </c>
      <c r="T20" s="90">
        <v>0</v>
      </c>
      <c r="U20" s="90">
        <f t="shared" si="2"/>
        <v>0</v>
      </c>
      <c r="V20" s="90">
        <f t="shared" si="3"/>
        <v>1519.88</v>
      </c>
      <c r="W20" s="90">
        <f t="shared" si="4"/>
        <v>1519.88</v>
      </c>
      <c r="X20" s="88"/>
    </row>
    <row r="21" spans="1:46">
      <c r="A21" s="97" t="s">
        <v>371</v>
      </c>
      <c r="B21" s="97" t="s">
        <v>371</v>
      </c>
      <c r="C21" s="97" t="s">
        <v>137</v>
      </c>
      <c r="D21" s="29" t="s">
        <v>141</v>
      </c>
      <c r="E21" s="20" t="s">
        <v>411</v>
      </c>
      <c r="F21" s="88" t="s">
        <v>548</v>
      </c>
      <c r="G21" s="88" t="s">
        <v>36</v>
      </c>
      <c r="H21" s="88" t="s">
        <v>37</v>
      </c>
      <c r="I21" s="88" t="s">
        <v>38</v>
      </c>
      <c r="J21" s="88" t="s">
        <v>39</v>
      </c>
      <c r="K21" s="88" t="s">
        <v>40</v>
      </c>
      <c r="L21" s="47">
        <v>43789</v>
      </c>
      <c r="M21" s="47">
        <v>43790</v>
      </c>
      <c r="N21" s="90">
        <f>1519.88/2</f>
        <v>759.94</v>
      </c>
      <c r="O21" s="90">
        <f>1519.88/2</f>
        <v>759.94</v>
      </c>
      <c r="P21" s="90">
        <f t="shared" si="0"/>
        <v>1519.88</v>
      </c>
      <c r="Q21" s="88">
        <v>2</v>
      </c>
      <c r="R21" s="90">
        <v>120</v>
      </c>
      <c r="S21" s="88">
        <v>0</v>
      </c>
      <c r="T21" s="90">
        <v>0</v>
      </c>
      <c r="U21" s="90">
        <f t="shared" si="2"/>
        <v>240</v>
      </c>
      <c r="V21" s="90">
        <f t="shared" si="3"/>
        <v>1759.88</v>
      </c>
      <c r="W21" s="90">
        <f t="shared" si="4"/>
        <v>1759.88</v>
      </c>
      <c r="X21" s="88"/>
    </row>
    <row r="22" spans="1:46" ht="25.5">
      <c r="A22" s="97" t="s">
        <v>512</v>
      </c>
      <c r="B22" s="97" t="s">
        <v>512</v>
      </c>
      <c r="C22" s="97" t="s">
        <v>486</v>
      </c>
      <c r="D22" s="86" t="s">
        <v>107</v>
      </c>
      <c r="E22" s="87" t="s">
        <v>50</v>
      </c>
      <c r="F22" s="88" t="s">
        <v>548</v>
      </c>
      <c r="G22" s="88" t="s">
        <v>36</v>
      </c>
      <c r="H22" s="88" t="s">
        <v>37</v>
      </c>
      <c r="I22" s="88" t="s">
        <v>38</v>
      </c>
      <c r="J22" s="88" t="s">
        <v>39</v>
      </c>
      <c r="K22" s="88" t="s">
        <v>40</v>
      </c>
      <c r="L22" s="47">
        <v>43789</v>
      </c>
      <c r="M22" s="47">
        <v>43790</v>
      </c>
      <c r="N22" s="90">
        <f>1450.8/2</f>
        <v>725.4</v>
      </c>
      <c r="O22" s="90">
        <f>1450.8/2</f>
        <v>725.4</v>
      </c>
      <c r="P22" s="90">
        <f t="shared" si="0"/>
        <v>1450.8</v>
      </c>
      <c r="Q22" s="88">
        <v>0</v>
      </c>
      <c r="R22" s="90">
        <v>0</v>
      </c>
      <c r="S22" s="88">
        <v>0</v>
      </c>
      <c r="T22" s="90">
        <v>0</v>
      </c>
      <c r="U22" s="90">
        <f t="shared" si="2"/>
        <v>0</v>
      </c>
      <c r="V22" s="90">
        <f t="shared" si="3"/>
        <v>1450.8</v>
      </c>
      <c r="W22" s="90">
        <f t="shared" si="4"/>
        <v>1450.8</v>
      </c>
      <c r="X22" s="88"/>
    </row>
    <row r="23" spans="1:46" ht="25.5">
      <c r="A23" s="97" t="s">
        <v>512</v>
      </c>
      <c r="B23" s="97" t="s">
        <v>253</v>
      </c>
      <c r="C23" s="97" t="s">
        <v>320</v>
      </c>
      <c r="D23" s="86" t="s">
        <v>321</v>
      </c>
      <c r="E23" s="20" t="s">
        <v>343</v>
      </c>
      <c r="F23" s="88" t="s">
        <v>548</v>
      </c>
      <c r="G23" s="88" t="s">
        <v>36</v>
      </c>
      <c r="H23" s="88" t="s">
        <v>37</v>
      </c>
      <c r="I23" s="88" t="s">
        <v>38</v>
      </c>
      <c r="J23" s="88" t="s">
        <v>39</v>
      </c>
      <c r="K23" s="88" t="s">
        <v>40</v>
      </c>
      <c r="L23" s="47">
        <v>43789</v>
      </c>
      <c r="M23" s="47">
        <v>43790</v>
      </c>
      <c r="N23" s="90">
        <f>1450.8/2</f>
        <v>725.4</v>
      </c>
      <c r="O23" s="90">
        <f>1450.8/2</f>
        <v>725.4</v>
      </c>
      <c r="P23" s="90">
        <f t="shared" si="0"/>
        <v>1450.8</v>
      </c>
      <c r="Q23" s="88">
        <v>2</v>
      </c>
      <c r="R23" s="90">
        <v>120</v>
      </c>
      <c r="S23" s="88">
        <v>0</v>
      </c>
      <c r="T23" s="90">
        <v>0</v>
      </c>
      <c r="U23" s="90">
        <f t="shared" si="2"/>
        <v>240</v>
      </c>
      <c r="V23" s="90">
        <f t="shared" si="3"/>
        <v>1690.8</v>
      </c>
      <c r="W23" s="90">
        <f t="shared" si="4"/>
        <v>1690.8</v>
      </c>
      <c r="X23" s="88"/>
    </row>
    <row r="24" spans="1:46" ht="25.5">
      <c r="A24" s="97" t="s">
        <v>231</v>
      </c>
      <c r="B24" s="97" t="s">
        <v>221</v>
      </c>
      <c r="C24" s="97" t="s">
        <v>54</v>
      </c>
      <c r="D24" s="29" t="s">
        <v>88</v>
      </c>
      <c r="E24" s="20" t="s">
        <v>55</v>
      </c>
      <c r="F24" s="88" t="s">
        <v>357</v>
      </c>
      <c r="G24" s="88" t="s">
        <v>36</v>
      </c>
      <c r="H24" s="88" t="s">
        <v>37</v>
      </c>
      <c r="I24" s="88" t="s">
        <v>38</v>
      </c>
      <c r="J24" s="88" t="s">
        <v>39</v>
      </c>
      <c r="K24" s="88" t="s">
        <v>40</v>
      </c>
      <c r="L24" s="47">
        <v>43797</v>
      </c>
      <c r="M24" s="47">
        <v>43797</v>
      </c>
      <c r="N24" s="90">
        <f>1609.79/2</f>
        <v>804.89499999999998</v>
      </c>
      <c r="O24" s="90">
        <f>1609.79/2</f>
        <v>804.89499999999998</v>
      </c>
      <c r="P24" s="90">
        <f t="shared" si="0"/>
        <v>1609.79</v>
      </c>
      <c r="Q24" s="88">
        <v>2</v>
      </c>
      <c r="R24" s="90">
        <v>120</v>
      </c>
      <c r="S24" s="88">
        <v>0</v>
      </c>
      <c r="T24" s="90">
        <v>0</v>
      </c>
      <c r="U24" s="90">
        <f t="shared" si="2"/>
        <v>240</v>
      </c>
      <c r="V24" s="90">
        <f t="shared" si="3"/>
        <v>1849.79</v>
      </c>
      <c r="W24" s="90">
        <f t="shared" si="4"/>
        <v>1849.79</v>
      </c>
      <c r="X24" s="88"/>
    </row>
    <row r="25" spans="1:46" ht="25.5">
      <c r="A25" s="97" t="s">
        <v>512</v>
      </c>
      <c r="B25" s="97" t="s">
        <v>253</v>
      </c>
      <c r="C25" s="97" t="s">
        <v>486</v>
      </c>
      <c r="D25" s="86" t="s">
        <v>107</v>
      </c>
      <c r="E25" s="87" t="s">
        <v>50</v>
      </c>
      <c r="F25" s="88" t="s">
        <v>357</v>
      </c>
      <c r="G25" s="88" t="s">
        <v>36</v>
      </c>
      <c r="H25" s="88" t="s">
        <v>37</v>
      </c>
      <c r="I25" s="88" t="s">
        <v>38</v>
      </c>
      <c r="J25" s="88" t="s">
        <v>39</v>
      </c>
      <c r="K25" s="88" t="s">
        <v>40</v>
      </c>
      <c r="L25" s="47">
        <v>43797</v>
      </c>
      <c r="M25" s="47">
        <v>43797</v>
      </c>
      <c r="N25" s="90">
        <f>1312.2/2</f>
        <v>656.1</v>
      </c>
      <c r="O25" s="90">
        <f>1312.2/2</f>
        <v>656.1</v>
      </c>
      <c r="P25" s="90">
        <f t="shared" si="0"/>
        <v>1312.2</v>
      </c>
      <c r="Q25" s="88">
        <v>0</v>
      </c>
      <c r="R25" s="90">
        <v>0</v>
      </c>
      <c r="S25" s="88">
        <v>0</v>
      </c>
      <c r="T25" s="90">
        <v>0</v>
      </c>
      <c r="U25" s="90">
        <f t="shared" si="2"/>
        <v>0</v>
      </c>
      <c r="V25" s="90">
        <f t="shared" si="3"/>
        <v>1312.2</v>
      </c>
      <c r="W25" s="90">
        <f t="shared" si="4"/>
        <v>1312.2</v>
      </c>
      <c r="X25" s="88"/>
    </row>
    <row r="26" spans="1:46">
      <c r="A26" s="97" t="s">
        <v>371</v>
      </c>
      <c r="B26" s="97" t="s">
        <v>273</v>
      </c>
      <c r="C26" s="97" t="s">
        <v>549</v>
      </c>
      <c r="D26" s="29" t="s">
        <v>550</v>
      </c>
      <c r="E26" s="20" t="s">
        <v>348</v>
      </c>
      <c r="F26" s="88" t="s">
        <v>551</v>
      </c>
      <c r="G26" s="88" t="s">
        <v>36</v>
      </c>
      <c r="H26" s="88" t="s">
        <v>37</v>
      </c>
      <c r="I26" s="88" t="s">
        <v>38</v>
      </c>
      <c r="J26" s="88" t="s">
        <v>39</v>
      </c>
      <c r="K26" s="88" t="s">
        <v>40</v>
      </c>
      <c r="L26" s="47">
        <v>43795</v>
      </c>
      <c r="M26" s="47">
        <v>43797</v>
      </c>
      <c r="N26" s="90">
        <f>1652.58/2</f>
        <v>826.29</v>
      </c>
      <c r="O26" s="90">
        <f>1652.58/2</f>
        <v>826.29</v>
      </c>
      <c r="P26" s="90">
        <f t="shared" si="0"/>
        <v>1652.58</v>
      </c>
      <c r="Q26" s="88">
        <v>3</v>
      </c>
      <c r="R26" s="90">
        <v>120</v>
      </c>
      <c r="S26" s="88">
        <v>3</v>
      </c>
      <c r="T26" s="90">
        <v>100</v>
      </c>
      <c r="U26" s="90">
        <f t="shared" si="2"/>
        <v>660</v>
      </c>
      <c r="V26" s="90">
        <f t="shared" si="3"/>
        <v>2312.58</v>
      </c>
      <c r="W26" s="90">
        <f t="shared" si="4"/>
        <v>2312.58</v>
      </c>
      <c r="X26" s="88"/>
    </row>
    <row r="27" spans="1:46" ht="25.5">
      <c r="A27" s="97" t="s">
        <v>512</v>
      </c>
      <c r="B27" s="97" t="s">
        <v>253</v>
      </c>
      <c r="C27" s="97" t="s">
        <v>486</v>
      </c>
      <c r="D27" s="86" t="s">
        <v>107</v>
      </c>
      <c r="E27" s="87" t="s">
        <v>50</v>
      </c>
      <c r="F27" s="88" t="s">
        <v>552</v>
      </c>
      <c r="G27" s="88" t="s">
        <v>36</v>
      </c>
      <c r="H27" s="88" t="s">
        <v>37</v>
      </c>
      <c r="I27" s="88" t="s">
        <v>38</v>
      </c>
      <c r="J27" s="88" t="s">
        <v>39</v>
      </c>
      <c r="K27" s="88" t="s">
        <v>40</v>
      </c>
      <c r="L27" s="47">
        <v>43795</v>
      </c>
      <c r="M27" s="47">
        <v>43797</v>
      </c>
      <c r="N27" s="90">
        <f>1881.08/2</f>
        <v>940.54</v>
      </c>
      <c r="O27" s="90">
        <f>1881.08/2</f>
        <v>940.54</v>
      </c>
      <c r="P27" s="90">
        <f t="shared" si="0"/>
        <v>1881.08</v>
      </c>
      <c r="Q27" s="88">
        <v>0</v>
      </c>
      <c r="R27" s="90">
        <v>0</v>
      </c>
      <c r="S27" s="88">
        <v>0</v>
      </c>
      <c r="T27" s="90">
        <v>0</v>
      </c>
      <c r="U27" s="90">
        <f t="shared" si="2"/>
        <v>0</v>
      </c>
      <c r="V27" s="90">
        <f t="shared" si="3"/>
        <v>1881.08</v>
      </c>
      <c r="W27" s="90">
        <f t="shared" si="4"/>
        <v>1881.08</v>
      </c>
      <c r="X27" s="8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50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48">
        <v>43586</v>
      </c>
    </row>
    <row r="6" spans="1:46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6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46" s="39" customFormat="1">
      <c r="A10" s="97" t="s">
        <v>371</v>
      </c>
      <c r="B10" s="97" t="s">
        <v>273</v>
      </c>
      <c r="C10" s="53" t="s">
        <v>282</v>
      </c>
      <c r="D10" s="29" t="s">
        <v>553</v>
      </c>
      <c r="E10" s="20" t="s">
        <v>348</v>
      </c>
      <c r="F10" s="88" t="s">
        <v>554</v>
      </c>
      <c r="G10" s="88" t="s">
        <v>36</v>
      </c>
      <c r="H10" s="88" t="s">
        <v>37</v>
      </c>
      <c r="I10" s="88" t="s">
        <v>38</v>
      </c>
      <c r="J10" s="88" t="s">
        <v>62</v>
      </c>
      <c r="K10" s="88" t="s">
        <v>63</v>
      </c>
      <c r="L10" s="47">
        <v>43807</v>
      </c>
      <c r="M10" s="47">
        <v>43811</v>
      </c>
      <c r="N10" s="90">
        <f>1766.28/2</f>
        <v>883.14</v>
      </c>
      <c r="O10" s="90">
        <f>1766.28/2</f>
        <v>883.14</v>
      </c>
      <c r="P10" s="90">
        <f t="shared" ref="P10:P16" si="0">SUM(N10:O10)</f>
        <v>1766.28</v>
      </c>
      <c r="Q10" s="88">
        <v>5</v>
      </c>
      <c r="R10" s="90">
        <v>120</v>
      </c>
      <c r="S10" s="88">
        <v>0</v>
      </c>
      <c r="T10" s="90">
        <v>0</v>
      </c>
      <c r="U10" s="90">
        <f>(Q10*R10)+(S10*T10)</f>
        <v>600</v>
      </c>
      <c r="V10" s="90">
        <f>U10+P10</f>
        <v>2366.2799999999997</v>
      </c>
      <c r="W10" s="90">
        <f>V10</f>
        <v>2366.2799999999997</v>
      </c>
      <c r="X10" s="88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</row>
    <row r="11" spans="1:46" s="39" customFormat="1">
      <c r="A11" s="97" t="s">
        <v>371</v>
      </c>
      <c r="B11" s="97" t="s">
        <v>226</v>
      </c>
      <c r="C11" s="97" t="s">
        <v>206</v>
      </c>
      <c r="D11" s="29" t="s">
        <v>207</v>
      </c>
      <c r="E11" s="20" t="s">
        <v>208</v>
      </c>
      <c r="F11" s="88" t="s">
        <v>357</v>
      </c>
      <c r="G11" s="88" t="s">
        <v>36</v>
      </c>
      <c r="H11" s="88" t="s">
        <v>37</v>
      </c>
      <c r="I11" s="88" t="s">
        <v>38</v>
      </c>
      <c r="J11" s="88" t="s">
        <v>39</v>
      </c>
      <c r="K11" s="88" t="s">
        <v>40</v>
      </c>
      <c r="L11" s="47">
        <v>43808</v>
      </c>
      <c r="M11" s="47">
        <v>43808</v>
      </c>
      <c r="N11" s="90">
        <f>1072.59/2</f>
        <v>536.29499999999996</v>
      </c>
      <c r="O11" s="90">
        <f>1072.59/2</f>
        <v>536.29499999999996</v>
      </c>
      <c r="P11" s="90">
        <f t="shared" si="0"/>
        <v>1072.5899999999999</v>
      </c>
      <c r="Q11" s="88">
        <v>1</v>
      </c>
      <c r="R11" s="90">
        <v>120</v>
      </c>
      <c r="S11" s="88">
        <v>2</v>
      </c>
      <c r="T11" s="90">
        <v>100</v>
      </c>
      <c r="U11" s="90">
        <f t="shared" ref="U11:U16" si="1">(Q11*R11)+(S11*T11)</f>
        <v>320</v>
      </c>
      <c r="V11" s="90">
        <f t="shared" ref="V11:V16" si="2">U11+P11</f>
        <v>1392.59</v>
      </c>
      <c r="W11" s="90">
        <f t="shared" ref="W11:W16" si="3">V11</f>
        <v>1392.59</v>
      </c>
      <c r="X11" s="88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</row>
    <row r="12" spans="1:46" s="39" customFormat="1" ht="25.5">
      <c r="A12" s="97" t="s">
        <v>231</v>
      </c>
      <c r="B12" s="97" t="s">
        <v>221</v>
      </c>
      <c r="C12" s="52" t="s">
        <v>54</v>
      </c>
      <c r="D12" s="29" t="s">
        <v>88</v>
      </c>
      <c r="E12" s="20" t="s">
        <v>55</v>
      </c>
      <c r="F12" s="88" t="s">
        <v>357</v>
      </c>
      <c r="G12" s="88" t="s">
        <v>36</v>
      </c>
      <c r="H12" s="88" t="s">
        <v>37</v>
      </c>
      <c r="I12" s="88" t="s">
        <v>38</v>
      </c>
      <c r="J12" s="88" t="s">
        <v>39</v>
      </c>
      <c r="K12" s="88" t="s">
        <v>40</v>
      </c>
      <c r="L12" s="47">
        <v>43808</v>
      </c>
      <c r="M12" s="47">
        <v>43808</v>
      </c>
      <c r="N12" s="90">
        <f>1134.88/2</f>
        <v>567.44000000000005</v>
      </c>
      <c r="O12" s="90">
        <f>1134.88/2</f>
        <v>567.44000000000005</v>
      </c>
      <c r="P12" s="90">
        <f t="shared" si="0"/>
        <v>1134.8800000000001</v>
      </c>
      <c r="Q12" s="88">
        <v>1</v>
      </c>
      <c r="R12" s="90">
        <v>120</v>
      </c>
      <c r="S12" s="88">
        <v>1</v>
      </c>
      <c r="T12" s="90">
        <v>120</v>
      </c>
      <c r="U12" s="90">
        <f t="shared" si="1"/>
        <v>240</v>
      </c>
      <c r="V12" s="90">
        <f t="shared" si="2"/>
        <v>1374.88</v>
      </c>
      <c r="W12" s="90">
        <f t="shared" si="3"/>
        <v>1374.88</v>
      </c>
      <c r="X12" s="88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</row>
    <row r="13" spans="1:46" s="39" customFormat="1" ht="25.5">
      <c r="A13" s="97" t="s">
        <v>253</v>
      </c>
      <c r="B13" s="97" t="s">
        <v>253</v>
      </c>
      <c r="C13" s="98" t="s">
        <v>486</v>
      </c>
      <c r="D13" s="86" t="s">
        <v>107</v>
      </c>
      <c r="E13" s="87" t="s">
        <v>50</v>
      </c>
      <c r="F13" s="88" t="s">
        <v>555</v>
      </c>
      <c r="G13" s="88" t="s">
        <v>36</v>
      </c>
      <c r="H13" s="88" t="s">
        <v>37</v>
      </c>
      <c r="I13" s="88" t="s">
        <v>38</v>
      </c>
      <c r="J13" s="88" t="s">
        <v>409</v>
      </c>
      <c r="K13" s="88" t="s">
        <v>410</v>
      </c>
      <c r="L13" s="47">
        <v>43807</v>
      </c>
      <c r="M13" s="47">
        <v>43808</v>
      </c>
      <c r="N13" s="90">
        <f>747.92/2</f>
        <v>373.96</v>
      </c>
      <c r="O13" s="90">
        <f>747.92/2</f>
        <v>373.96</v>
      </c>
      <c r="P13" s="90">
        <f t="shared" si="0"/>
        <v>747.92</v>
      </c>
      <c r="Q13" s="88">
        <v>0</v>
      </c>
      <c r="R13" s="90">
        <v>0</v>
      </c>
      <c r="S13" s="88">
        <v>0</v>
      </c>
      <c r="T13" s="90">
        <v>0</v>
      </c>
      <c r="U13" s="90">
        <f t="shared" si="1"/>
        <v>0</v>
      </c>
      <c r="V13" s="90">
        <f t="shared" si="2"/>
        <v>747.92</v>
      </c>
      <c r="W13" s="90">
        <f t="shared" si="3"/>
        <v>747.92</v>
      </c>
      <c r="X13" s="88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</row>
    <row r="14" spans="1:46" s="39" customFormat="1" ht="25.5">
      <c r="A14" s="97" t="s">
        <v>253</v>
      </c>
      <c r="B14" s="97" t="s">
        <v>259</v>
      </c>
      <c r="C14" s="97" t="s">
        <v>320</v>
      </c>
      <c r="D14" s="86" t="s">
        <v>321</v>
      </c>
      <c r="E14" s="20" t="s">
        <v>343</v>
      </c>
      <c r="F14" s="88" t="s">
        <v>555</v>
      </c>
      <c r="G14" s="88" t="s">
        <v>36</v>
      </c>
      <c r="H14" s="88" t="s">
        <v>37</v>
      </c>
      <c r="I14" s="88" t="s">
        <v>38</v>
      </c>
      <c r="J14" s="88" t="s">
        <v>409</v>
      </c>
      <c r="K14" s="88" t="s">
        <v>410</v>
      </c>
      <c r="L14" s="47">
        <v>43807</v>
      </c>
      <c r="M14" s="47">
        <v>43808</v>
      </c>
      <c r="N14" s="90">
        <f>972.48/2</f>
        <v>486.24</v>
      </c>
      <c r="O14" s="90">
        <f>972.48/2</f>
        <v>486.24</v>
      </c>
      <c r="P14" s="90">
        <f t="shared" si="0"/>
        <v>972.48</v>
      </c>
      <c r="Q14" s="88">
        <v>2</v>
      </c>
      <c r="R14" s="90">
        <v>120</v>
      </c>
      <c r="S14" s="88">
        <v>0</v>
      </c>
      <c r="T14" s="90">
        <v>0</v>
      </c>
      <c r="U14" s="90">
        <f t="shared" si="1"/>
        <v>240</v>
      </c>
      <c r="V14" s="90">
        <f t="shared" si="2"/>
        <v>1212.48</v>
      </c>
      <c r="W14" s="90">
        <f t="shared" si="3"/>
        <v>1212.48</v>
      </c>
      <c r="X14" s="88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</row>
    <row r="15" spans="1:46" s="39" customFormat="1" ht="25.5">
      <c r="A15" s="97" t="s">
        <v>253</v>
      </c>
      <c r="B15" s="97" t="s">
        <v>288</v>
      </c>
      <c r="C15" s="97" t="s">
        <v>375</v>
      </c>
      <c r="D15" s="29" t="s">
        <v>376</v>
      </c>
      <c r="E15" s="20" t="s">
        <v>98</v>
      </c>
      <c r="F15" s="88" t="s">
        <v>556</v>
      </c>
      <c r="G15" s="88" t="s">
        <v>36</v>
      </c>
      <c r="H15" s="88" t="s">
        <v>37</v>
      </c>
      <c r="I15" s="88" t="s">
        <v>38</v>
      </c>
      <c r="J15" s="88" t="s">
        <v>62</v>
      </c>
      <c r="K15" s="88" t="s">
        <v>63</v>
      </c>
      <c r="L15" s="47">
        <v>43800</v>
      </c>
      <c r="M15" s="47">
        <v>43803</v>
      </c>
      <c r="N15" s="90">
        <f>1715.52/2</f>
        <v>857.76</v>
      </c>
      <c r="O15" s="90">
        <f>1715.52/2</f>
        <v>857.76</v>
      </c>
      <c r="P15" s="90">
        <f t="shared" si="0"/>
        <v>1715.52</v>
      </c>
      <c r="Q15" s="88">
        <v>4</v>
      </c>
      <c r="R15" s="90">
        <v>120</v>
      </c>
      <c r="S15" s="88">
        <v>0</v>
      </c>
      <c r="T15" s="90">
        <v>0</v>
      </c>
      <c r="U15" s="90">
        <f t="shared" si="1"/>
        <v>480</v>
      </c>
      <c r="V15" s="90">
        <f t="shared" si="2"/>
        <v>2195.52</v>
      </c>
      <c r="W15" s="90">
        <f t="shared" si="3"/>
        <v>2195.52</v>
      </c>
      <c r="X15" s="88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</row>
    <row r="16" spans="1:46" s="39" customFormat="1" ht="25.5">
      <c r="A16" s="97" t="s">
        <v>253</v>
      </c>
      <c r="B16" s="97" t="s">
        <v>212</v>
      </c>
      <c r="C16" s="97" t="s">
        <v>100</v>
      </c>
      <c r="D16" s="29" t="s">
        <v>101</v>
      </c>
      <c r="E16" s="20" t="s">
        <v>102</v>
      </c>
      <c r="F16" s="88" t="s">
        <v>557</v>
      </c>
      <c r="G16" s="88" t="s">
        <v>36</v>
      </c>
      <c r="H16" s="88" t="s">
        <v>37</v>
      </c>
      <c r="I16" s="88" t="s">
        <v>38</v>
      </c>
      <c r="J16" s="88" t="s">
        <v>62</v>
      </c>
      <c r="K16" s="88" t="s">
        <v>414</v>
      </c>
      <c r="L16" s="47">
        <v>43808</v>
      </c>
      <c r="M16" s="47">
        <v>43812</v>
      </c>
      <c r="N16" s="90">
        <v>2985.81</v>
      </c>
      <c r="O16" s="90">
        <v>1062</v>
      </c>
      <c r="P16" s="90">
        <f t="shared" si="0"/>
        <v>4047.81</v>
      </c>
      <c r="Q16" s="88">
        <v>5</v>
      </c>
      <c r="R16" s="90">
        <v>120</v>
      </c>
      <c r="S16" s="88">
        <v>5</v>
      </c>
      <c r="T16" s="90">
        <v>100</v>
      </c>
      <c r="U16" s="90">
        <f t="shared" si="1"/>
        <v>1100</v>
      </c>
      <c r="V16" s="90">
        <f t="shared" si="2"/>
        <v>5147.8099999999995</v>
      </c>
      <c r="W16" s="90">
        <f t="shared" si="3"/>
        <v>5147.8099999999995</v>
      </c>
      <c r="X16" s="88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50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48">
        <v>43586</v>
      </c>
    </row>
    <row r="6" spans="1:46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46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52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53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46" s="39" customFormat="1" ht="25.5">
      <c r="A10" s="97" t="s">
        <v>253</v>
      </c>
      <c r="B10" s="97" t="s">
        <v>212</v>
      </c>
      <c r="C10" s="53" t="s">
        <v>100</v>
      </c>
      <c r="D10" s="29" t="s">
        <v>101</v>
      </c>
      <c r="E10" s="20" t="s">
        <v>102</v>
      </c>
      <c r="F10" s="88" t="s">
        <v>558</v>
      </c>
      <c r="G10" s="88" t="s">
        <v>36</v>
      </c>
      <c r="H10" s="88" t="s">
        <v>37</v>
      </c>
      <c r="I10" s="88" t="s">
        <v>38</v>
      </c>
      <c r="J10" s="88" t="s">
        <v>62</v>
      </c>
      <c r="K10" s="88" t="s">
        <v>414</v>
      </c>
      <c r="L10" s="47">
        <v>43850</v>
      </c>
      <c r="M10" s="47">
        <v>43854</v>
      </c>
      <c r="N10" s="90">
        <f>2720.71/2</f>
        <v>1360.355</v>
      </c>
      <c r="O10" s="90">
        <f>2720.71/2</f>
        <v>1360.355</v>
      </c>
      <c r="P10" s="90">
        <f t="shared" ref="P10:P13" si="0">SUM(N10:O10)</f>
        <v>2720.71</v>
      </c>
      <c r="Q10" s="88">
        <v>5</v>
      </c>
      <c r="R10" s="90">
        <v>120</v>
      </c>
      <c r="S10" s="88">
        <v>5</v>
      </c>
      <c r="T10" s="90">
        <v>100</v>
      </c>
      <c r="U10" s="90">
        <f>(Q10*R10)+(S10*T10)</f>
        <v>1100</v>
      </c>
      <c r="V10" s="90">
        <f>U10+P10</f>
        <v>3820.71</v>
      </c>
      <c r="W10" s="90">
        <f>V10</f>
        <v>3820.71</v>
      </c>
      <c r="X10" s="88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</row>
    <row r="11" spans="1:46" s="39" customFormat="1" ht="25.5">
      <c r="A11" s="97" t="s">
        <v>253</v>
      </c>
      <c r="B11" s="97" t="s">
        <v>259</v>
      </c>
      <c r="C11" s="97" t="s">
        <v>383</v>
      </c>
      <c r="D11" s="29" t="s">
        <v>384</v>
      </c>
      <c r="E11" s="20" t="s">
        <v>385</v>
      </c>
      <c r="F11" s="88" t="s">
        <v>559</v>
      </c>
      <c r="G11" s="88" t="s">
        <v>36</v>
      </c>
      <c r="H11" s="88" t="s">
        <v>37</v>
      </c>
      <c r="I11" s="88" t="s">
        <v>38</v>
      </c>
      <c r="J11" s="88" t="s">
        <v>37</v>
      </c>
      <c r="K11" s="88" t="s">
        <v>391</v>
      </c>
      <c r="L11" s="47">
        <v>43844</v>
      </c>
      <c r="M11" s="47">
        <v>43846</v>
      </c>
      <c r="N11" s="90">
        <f>1070.83/2</f>
        <v>535.41499999999996</v>
      </c>
      <c r="O11" s="90">
        <f>1070.83/2</f>
        <v>535.41499999999996</v>
      </c>
      <c r="P11" s="90">
        <f t="shared" si="0"/>
        <v>1070.83</v>
      </c>
      <c r="Q11" s="88">
        <v>3</v>
      </c>
      <c r="R11" s="90">
        <v>120</v>
      </c>
      <c r="S11" s="88">
        <v>0</v>
      </c>
      <c r="T11" s="90">
        <v>0</v>
      </c>
      <c r="U11" s="90">
        <f t="shared" ref="U11:U13" si="1">(Q11*R11)+(S11*T11)</f>
        <v>360</v>
      </c>
      <c r="V11" s="90">
        <f t="shared" ref="V11:V13" si="2">U11+P11</f>
        <v>1430.83</v>
      </c>
      <c r="W11" s="90">
        <f t="shared" ref="W11:W13" si="3">V11</f>
        <v>1430.83</v>
      </c>
      <c r="X11" s="88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</row>
    <row r="12" spans="1:46" s="39" customFormat="1" ht="25.5">
      <c r="A12" s="97" t="s">
        <v>253</v>
      </c>
      <c r="B12" s="97" t="s">
        <v>253</v>
      </c>
      <c r="C12" s="52" t="s">
        <v>320</v>
      </c>
      <c r="D12" s="86" t="s">
        <v>321</v>
      </c>
      <c r="E12" s="20" t="s">
        <v>343</v>
      </c>
      <c r="F12" s="88" t="s">
        <v>559</v>
      </c>
      <c r="G12" s="88" t="s">
        <v>36</v>
      </c>
      <c r="H12" s="88" t="s">
        <v>37</v>
      </c>
      <c r="I12" s="88" t="s">
        <v>38</v>
      </c>
      <c r="J12" s="88" t="s">
        <v>37</v>
      </c>
      <c r="K12" s="88" t="s">
        <v>391</v>
      </c>
      <c r="L12" s="47">
        <v>43844</v>
      </c>
      <c r="M12" s="47">
        <v>43846</v>
      </c>
      <c r="N12" s="90">
        <f>1070.83/2</f>
        <v>535.41499999999996</v>
      </c>
      <c r="O12" s="90">
        <f>1070.83/2</f>
        <v>535.41499999999996</v>
      </c>
      <c r="P12" s="90">
        <f t="shared" si="0"/>
        <v>1070.83</v>
      </c>
      <c r="Q12" s="88">
        <v>3</v>
      </c>
      <c r="R12" s="90">
        <v>120</v>
      </c>
      <c r="S12" s="88">
        <v>0</v>
      </c>
      <c r="T12" s="90">
        <v>0</v>
      </c>
      <c r="U12" s="90">
        <f t="shared" si="1"/>
        <v>360</v>
      </c>
      <c r="V12" s="90">
        <f t="shared" si="2"/>
        <v>1430.83</v>
      </c>
      <c r="W12" s="90">
        <f t="shared" si="3"/>
        <v>1430.83</v>
      </c>
      <c r="X12" s="88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</row>
    <row r="13" spans="1:46" s="39" customFormat="1" ht="25.5">
      <c r="A13" s="97" t="s">
        <v>253</v>
      </c>
      <c r="B13" s="97" t="s">
        <v>253</v>
      </c>
      <c r="C13" s="98" t="s">
        <v>486</v>
      </c>
      <c r="D13" s="86" t="s">
        <v>107</v>
      </c>
      <c r="E13" s="87" t="s">
        <v>50</v>
      </c>
      <c r="F13" s="88" t="s">
        <v>560</v>
      </c>
      <c r="G13" s="88" t="s">
        <v>36</v>
      </c>
      <c r="H13" s="88" t="s">
        <v>37</v>
      </c>
      <c r="I13" s="88" t="s">
        <v>38</v>
      </c>
      <c r="J13" s="88" t="s">
        <v>39</v>
      </c>
      <c r="K13" s="88" t="s">
        <v>40</v>
      </c>
      <c r="L13" s="47">
        <v>43859</v>
      </c>
      <c r="M13" s="47">
        <v>43859</v>
      </c>
      <c r="N13" s="90">
        <f>2118.56/2</f>
        <v>1059.28</v>
      </c>
      <c r="O13" s="90">
        <f>2118.56/2</f>
        <v>1059.28</v>
      </c>
      <c r="P13" s="90">
        <f t="shared" si="0"/>
        <v>2118.56</v>
      </c>
      <c r="Q13" s="88">
        <v>0</v>
      </c>
      <c r="R13" s="90">
        <v>0</v>
      </c>
      <c r="S13" s="88">
        <v>0</v>
      </c>
      <c r="T13" s="90">
        <v>0</v>
      </c>
      <c r="U13" s="90">
        <f t="shared" si="1"/>
        <v>0</v>
      </c>
      <c r="V13" s="90">
        <f t="shared" si="2"/>
        <v>2118.56</v>
      </c>
      <c r="W13" s="90">
        <f t="shared" si="3"/>
        <v>2118.56</v>
      </c>
      <c r="X13" s="88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 t="s">
        <v>228</v>
      </c>
      <c r="B5" s="97" t="s">
        <v>228</v>
      </c>
      <c r="C5" s="97" t="s">
        <v>561</v>
      </c>
      <c r="D5" s="29"/>
      <c r="E5" s="20" t="s">
        <v>562</v>
      </c>
      <c r="F5" s="88" t="s">
        <v>563</v>
      </c>
      <c r="G5" s="88" t="s">
        <v>36</v>
      </c>
      <c r="H5" s="88" t="s">
        <v>37</v>
      </c>
      <c r="I5" s="88" t="s">
        <v>38</v>
      </c>
      <c r="J5" s="88" t="s">
        <v>210</v>
      </c>
      <c r="K5" s="88" t="s">
        <v>211</v>
      </c>
      <c r="L5" s="47">
        <v>43872</v>
      </c>
      <c r="M5" s="47">
        <v>43875</v>
      </c>
      <c r="N5" s="90">
        <f t="shared" ref="N5:N12" si="0">P5/2</f>
        <v>597.14</v>
      </c>
      <c r="O5" s="90">
        <f>N5</f>
        <v>597.14</v>
      </c>
      <c r="P5" s="90">
        <v>1194.28</v>
      </c>
      <c r="Q5" s="88">
        <v>0</v>
      </c>
      <c r="R5" s="90">
        <v>0</v>
      </c>
      <c r="S5" s="88">
        <v>0</v>
      </c>
      <c r="T5" s="90">
        <v>0</v>
      </c>
      <c r="U5" s="90">
        <f>(Q5*R5)+(S5*T5)</f>
        <v>0</v>
      </c>
      <c r="V5" s="90">
        <f>U5+P5</f>
        <v>1194.28</v>
      </c>
      <c r="W5" s="90">
        <f>V5</f>
        <v>1194.28</v>
      </c>
      <c r="X5" s="88"/>
    </row>
    <row r="6" spans="1:24" ht="15">
      <c r="A6" s="97" t="s">
        <v>228</v>
      </c>
      <c r="B6" s="97" t="s">
        <v>450</v>
      </c>
      <c r="C6" s="97" t="s">
        <v>564</v>
      </c>
      <c r="D6" s="29"/>
      <c r="E6" s="20" t="s">
        <v>565</v>
      </c>
      <c r="F6" s="88" t="s">
        <v>563</v>
      </c>
      <c r="G6" s="88" t="s">
        <v>36</v>
      </c>
      <c r="H6" s="88" t="s">
        <v>37</v>
      </c>
      <c r="I6" s="88" t="s">
        <v>38</v>
      </c>
      <c r="J6" s="88" t="s">
        <v>210</v>
      </c>
      <c r="K6" s="88" t="s">
        <v>211</v>
      </c>
      <c r="L6" s="47">
        <v>43872</v>
      </c>
      <c r="M6" s="47">
        <v>43875</v>
      </c>
      <c r="N6" s="90">
        <f t="shared" si="0"/>
        <v>597.14</v>
      </c>
      <c r="O6" s="90">
        <f t="shared" ref="O6:O12" si="1">P6/2</f>
        <v>597.14</v>
      </c>
      <c r="P6" s="90">
        <v>1194.28</v>
      </c>
      <c r="Q6" s="88">
        <v>0</v>
      </c>
      <c r="R6" s="90">
        <v>0</v>
      </c>
      <c r="S6" s="88">
        <v>0</v>
      </c>
      <c r="T6" s="90">
        <v>0</v>
      </c>
      <c r="U6" s="90">
        <f t="shared" ref="U6:U12" si="2">(Q6*R6)+(S6*T6)</f>
        <v>0</v>
      </c>
      <c r="V6" s="90">
        <f t="shared" ref="V6:V12" si="3">U6+P6</f>
        <v>1194.28</v>
      </c>
      <c r="W6" s="90">
        <f t="shared" ref="W6:W12" si="4">V6</f>
        <v>1194.28</v>
      </c>
      <c r="X6" s="88"/>
    </row>
    <row r="7" spans="1:24" ht="25.5">
      <c r="A7" s="97" t="s">
        <v>228</v>
      </c>
      <c r="B7" s="97" t="s">
        <v>566</v>
      </c>
      <c r="C7" s="97" t="s">
        <v>54</v>
      </c>
      <c r="D7" s="29" t="s">
        <v>88</v>
      </c>
      <c r="E7" s="20" t="s">
        <v>55</v>
      </c>
      <c r="F7" s="88" t="s">
        <v>563</v>
      </c>
      <c r="G7" s="88" t="s">
        <v>36</v>
      </c>
      <c r="H7" s="88" t="s">
        <v>37</v>
      </c>
      <c r="I7" s="88" t="s">
        <v>38</v>
      </c>
      <c r="J7" s="88" t="s">
        <v>210</v>
      </c>
      <c r="K7" s="88" t="s">
        <v>211</v>
      </c>
      <c r="L7" s="47">
        <v>43872</v>
      </c>
      <c r="M7" s="47">
        <v>43875</v>
      </c>
      <c r="N7" s="90">
        <f t="shared" si="0"/>
        <v>640.01</v>
      </c>
      <c r="O7" s="90">
        <f t="shared" si="1"/>
        <v>640.01</v>
      </c>
      <c r="P7" s="90">
        <v>1280.02</v>
      </c>
      <c r="Q7" s="88">
        <v>4</v>
      </c>
      <c r="R7" s="90">
        <v>120</v>
      </c>
      <c r="S7" s="88">
        <v>2</v>
      </c>
      <c r="T7" s="90">
        <v>120</v>
      </c>
      <c r="U7" s="90">
        <f t="shared" si="2"/>
        <v>720</v>
      </c>
      <c r="V7" s="90">
        <f t="shared" si="3"/>
        <v>2000.02</v>
      </c>
      <c r="W7" s="90">
        <f t="shared" si="4"/>
        <v>2000.02</v>
      </c>
      <c r="X7" s="88" t="s">
        <v>77</v>
      </c>
    </row>
    <row r="8" spans="1:24" ht="25.5">
      <c r="A8" s="97" t="s">
        <v>228</v>
      </c>
      <c r="B8" s="97" t="s">
        <v>566</v>
      </c>
      <c r="C8" s="97" t="s">
        <v>54</v>
      </c>
      <c r="D8" s="29" t="s">
        <v>88</v>
      </c>
      <c r="E8" s="20" t="s">
        <v>55</v>
      </c>
      <c r="F8" s="88" t="s">
        <v>567</v>
      </c>
      <c r="G8" s="88" t="s">
        <v>36</v>
      </c>
      <c r="H8" s="88" t="s">
        <v>37</v>
      </c>
      <c r="I8" s="88" t="s">
        <v>38</v>
      </c>
      <c r="J8" s="88" t="s">
        <v>62</v>
      </c>
      <c r="K8" s="88" t="s">
        <v>63</v>
      </c>
      <c r="L8" s="47">
        <v>43863</v>
      </c>
      <c r="M8" s="47">
        <v>43865</v>
      </c>
      <c r="N8" s="90">
        <f t="shared" si="0"/>
        <v>1031.115</v>
      </c>
      <c r="O8" s="90">
        <f t="shared" si="1"/>
        <v>1031.115</v>
      </c>
      <c r="P8" s="90">
        <v>2062.23</v>
      </c>
      <c r="Q8" s="88">
        <v>2</v>
      </c>
      <c r="R8" s="90">
        <v>120</v>
      </c>
      <c r="S8" s="88">
        <v>2</v>
      </c>
      <c r="T8" s="90">
        <v>120</v>
      </c>
      <c r="U8" s="90">
        <f t="shared" si="2"/>
        <v>480</v>
      </c>
      <c r="V8" s="90">
        <f t="shared" si="3"/>
        <v>2542.23</v>
      </c>
      <c r="W8" s="90">
        <f t="shared" si="4"/>
        <v>2542.23</v>
      </c>
      <c r="X8" s="88" t="s">
        <v>77</v>
      </c>
    </row>
    <row r="9" spans="1:24" ht="38.25">
      <c r="A9" s="177" t="s">
        <v>233</v>
      </c>
      <c r="B9" s="177" t="s">
        <v>233</v>
      </c>
      <c r="C9" s="177" t="s">
        <v>568</v>
      </c>
      <c r="D9" s="54"/>
      <c r="E9" s="55" t="s">
        <v>50</v>
      </c>
      <c r="F9" s="88" t="s">
        <v>563</v>
      </c>
      <c r="G9" s="81" t="s">
        <v>36</v>
      </c>
      <c r="H9" s="81" t="s">
        <v>37</v>
      </c>
      <c r="I9" s="81" t="s">
        <v>38</v>
      </c>
      <c r="J9" s="81" t="s">
        <v>210</v>
      </c>
      <c r="K9" s="81" t="s">
        <v>211</v>
      </c>
      <c r="L9" s="56">
        <v>43872</v>
      </c>
      <c r="M9" s="56">
        <v>43875</v>
      </c>
      <c r="N9" s="178">
        <f t="shared" si="0"/>
        <v>778.26</v>
      </c>
      <c r="O9" s="178">
        <f t="shared" si="1"/>
        <v>778.26</v>
      </c>
      <c r="P9" s="178">
        <v>1556.52</v>
      </c>
      <c r="Q9" s="177">
        <v>0</v>
      </c>
      <c r="R9" s="90">
        <v>0</v>
      </c>
      <c r="S9" s="88">
        <v>0</v>
      </c>
      <c r="T9" s="90">
        <v>0</v>
      </c>
      <c r="U9" s="90">
        <f t="shared" si="2"/>
        <v>0</v>
      </c>
      <c r="V9" s="90">
        <f t="shared" si="3"/>
        <v>1556.52</v>
      </c>
      <c r="W9" s="90">
        <f t="shared" si="4"/>
        <v>1556.52</v>
      </c>
      <c r="X9" s="177"/>
    </row>
    <row r="10" spans="1:24" ht="38.25">
      <c r="A10" s="177" t="s">
        <v>233</v>
      </c>
      <c r="B10" s="177" t="s">
        <v>233</v>
      </c>
      <c r="C10" s="177" t="s">
        <v>568</v>
      </c>
      <c r="D10" s="54"/>
      <c r="E10" s="55" t="s">
        <v>50</v>
      </c>
      <c r="F10" s="93" t="s">
        <v>569</v>
      </c>
      <c r="G10" s="81" t="s">
        <v>36</v>
      </c>
      <c r="H10" s="81" t="s">
        <v>37</v>
      </c>
      <c r="I10" s="81" t="s">
        <v>38</v>
      </c>
      <c r="J10" s="81" t="s">
        <v>39</v>
      </c>
      <c r="K10" s="81" t="s">
        <v>570</v>
      </c>
      <c r="L10" s="56">
        <v>43878</v>
      </c>
      <c r="M10" s="56">
        <v>43879</v>
      </c>
      <c r="N10" s="178">
        <f t="shared" si="0"/>
        <v>912.6</v>
      </c>
      <c r="O10" s="178">
        <f t="shared" si="1"/>
        <v>912.6</v>
      </c>
      <c r="P10" s="178">
        <v>1825.2</v>
      </c>
      <c r="Q10" s="93">
        <v>0</v>
      </c>
      <c r="R10" s="90">
        <v>0</v>
      </c>
      <c r="S10" s="88">
        <v>0</v>
      </c>
      <c r="T10" s="90">
        <v>0</v>
      </c>
      <c r="U10" s="90">
        <f t="shared" si="2"/>
        <v>0</v>
      </c>
      <c r="V10" s="90">
        <f t="shared" si="3"/>
        <v>1825.2</v>
      </c>
      <c r="W10" s="90">
        <f t="shared" si="4"/>
        <v>1825.2</v>
      </c>
      <c r="X10" s="93"/>
    </row>
    <row r="11" spans="1:24" ht="25.5">
      <c r="A11" s="177" t="s">
        <v>233</v>
      </c>
      <c r="B11" s="177" t="s">
        <v>233</v>
      </c>
      <c r="C11" s="177" t="s">
        <v>571</v>
      </c>
      <c r="D11" s="86" t="s">
        <v>321</v>
      </c>
      <c r="E11" s="20" t="s">
        <v>343</v>
      </c>
      <c r="F11" s="93" t="s">
        <v>569</v>
      </c>
      <c r="G11" s="81" t="s">
        <v>36</v>
      </c>
      <c r="H11" s="81" t="s">
        <v>37</v>
      </c>
      <c r="I11" s="81" t="s">
        <v>38</v>
      </c>
      <c r="J11" s="81" t="s">
        <v>39</v>
      </c>
      <c r="K11" s="81" t="s">
        <v>570</v>
      </c>
      <c r="L11" s="56">
        <v>43878</v>
      </c>
      <c r="M11" s="56">
        <v>43879</v>
      </c>
      <c r="N11" s="178">
        <f t="shared" si="0"/>
        <v>860.1</v>
      </c>
      <c r="O11" s="178">
        <f t="shared" si="1"/>
        <v>860.1</v>
      </c>
      <c r="P11" s="178">
        <v>1720.2</v>
      </c>
      <c r="Q11" s="88">
        <v>2</v>
      </c>
      <c r="R11" s="90">
        <v>120</v>
      </c>
      <c r="S11" s="88">
        <v>0</v>
      </c>
      <c r="T11" s="90">
        <v>0</v>
      </c>
      <c r="U11" s="90">
        <f t="shared" si="2"/>
        <v>240</v>
      </c>
      <c r="V11" s="90">
        <f t="shared" si="3"/>
        <v>1960.2</v>
      </c>
      <c r="W11" s="90">
        <f t="shared" si="4"/>
        <v>1960.2</v>
      </c>
      <c r="X11" s="88" t="s">
        <v>77</v>
      </c>
    </row>
    <row r="12" spans="1:24" ht="25.5">
      <c r="A12" s="97" t="s">
        <v>371</v>
      </c>
      <c r="B12" s="97" t="s">
        <v>371</v>
      </c>
      <c r="C12" s="97" t="s">
        <v>137</v>
      </c>
      <c r="D12" s="29" t="s">
        <v>141</v>
      </c>
      <c r="E12" s="20" t="s">
        <v>343</v>
      </c>
      <c r="F12" s="93" t="s">
        <v>569</v>
      </c>
      <c r="G12" s="88" t="s">
        <v>36</v>
      </c>
      <c r="H12" s="88" t="s">
        <v>37</v>
      </c>
      <c r="I12" s="88" t="s">
        <v>38</v>
      </c>
      <c r="J12" s="88" t="s">
        <v>39</v>
      </c>
      <c r="K12" s="88" t="s">
        <v>570</v>
      </c>
      <c r="L12" s="47">
        <v>43878</v>
      </c>
      <c r="M12" s="47">
        <v>43879</v>
      </c>
      <c r="N12" s="179">
        <f t="shared" si="0"/>
        <v>690.43499999999995</v>
      </c>
      <c r="O12" s="179">
        <f t="shared" si="1"/>
        <v>690.43499999999995</v>
      </c>
      <c r="P12" s="179">
        <v>1380.87</v>
      </c>
      <c r="Q12" s="88">
        <v>2</v>
      </c>
      <c r="R12" s="90">
        <v>120</v>
      </c>
      <c r="S12" s="88">
        <v>0</v>
      </c>
      <c r="T12" s="90">
        <v>0</v>
      </c>
      <c r="U12" s="90">
        <f t="shared" si="2"/>
        <v>240</v>
      </c>
      <c r="V12" s="90">
        <f t="shared" si="3"/>
        <v>1620.87</v>
      </c>
      <c r="W12" s="90">
        <f t="shared" si="4"/>
        <v>1620.87</v>
      </c>
      <c r="X12" s="88" t="s">
        <v>77</v>
      </c>
    </row>
    <row r="18" spans="3:17">
      <c r="Q18" s="57"/>
    </row>
    <row r="19" spans="3:17">
      <c r="Q19" s="57"/>
    </row>
    <row r="20" spans="3:17">
      <c r="Q20" s="57"/>
    </row>
    <row r="21" spans="3:17">
      <c r="Q21" s="57"/>
    </row>
    <row r="23" spans="3:17" ht="25.5">
      <c r="C23" s="29"/>
      <c r="D23" s="20" t="s">
        <v>562</v>
      </c>
    </row>
    <row r="24" spans="3:17" ht="51">
      <c r="C24" s="54"/>
      <c r="D24" s="55" t="s">
        <v>50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42979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5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25.5">
      <c r="A5" s="97" t="s">
        <v>228</v>
      </c>
      <c r="B5" s="97" t="s">
        <v>566</v>
      </c>
      <c r="C5" s="97" t="s">
        <v>54</v>
      </c>
      <c r="D5" s="29" t="s">
        <v>88</v>
      </c>
      <c r="E5" s="20" t="s">
        <v>55</v>
      </c>
      <c r="F5" s="88" t="s">
        <v>563</v>
      </c>
      <c r="G5" s="88" t="s">
        <v>36</v>
      </c>
      <c r="H5" s="88" t="s">
        <v>37</v>
      </c>
      <c r="I5" s="88" t="s">
        <v>38</v>
      </c>
      <c r="J5" s="88" t="s">
        <v>39</v>
      </c>
      <c r="K5" s="88" t="s">
        <v>40</v>
      </c>
      <c r="L5" s="47">
        <v>43902</v>
      </c>
      <c r="M5" s="47">
        <v>43902</v>
      </c>
      <c r="N5" s="90">
        <f>980.94/2</f>
        <v>490.47</v>
      </c>
      <c r="O5" s="90">
        <f>980.94/2</f>
        <v>490.47</v>
      </c>
      <c r="P5" s="90">
        <f>SUM(N5:O5)</f>
        <v>980.94</v>
      </c>
      <c r="Q5" s="88">
        <v>2</v>
      </c>
      <c r="R5" s="90">
        <v>120</v>
      </c>
      <c r="S5" s="88">
        <v>0</v>
      </c>
      <c r="T5" s="90">
        <v>0</v>
      </c>
      <c r="U5" s="90">
        <f>(Q5*R5)+(S5*T5)</f>
        <v>240</v>
      </c>
      <c r="V5" s="90">
        <f>U5+P5</f>
        <v>1220.94</v>
      </c>
      <c r="W5" s="90">
        <f>V5</f>
        <v>1220.94</v>
      </c>
      <c r="X5" s="88" t="s">
        <v>77</v>
      </c>
    </row>
    <row r="6" spans="1:24" ht="38.25">
      <c r="A6" s="177" t="s">
        <v>233</v>
      </c>
      <c r="B6" s="177" t="s">
        <v>233</v>
      </c>
      <c r="C6" s="177" t="s">
        <v>568</v>
      </c>
      <c r="D6" s="54"/>
      <c r="E6" s="55" t="s">
        <v>50</v>
      </c>
      <c r="F6" s="88" t="s">
        <v>563</v>
      </c>
      <c r="G6" s="81" t="s">
        <v>36</v>
      </c>
      <c r="H6" s="81" t="s">
        <v>37</v>
      </c>
      <c r="I6" s="81" t="s">
        <v>38</v>
      </c>
      <c r="J6" s="88" t="s">
        <v>39</v>
      </c>
      <c r="K6" s="88" t="s">
        <v>40</v>
      </c>
      <c r="L6" s="56">
        <v>43902</v>
      </c>
      <c r="M6" s="56">
        <v>43902</v>
      </c>
      <c r="N6" s="90">
        <f>980.94/2</f>
        <v>490.47</v>
      </c>
      <c r="O6" s="90">
        <f>980.94/2</f>
        <v>490.47</v>
      </c>
      <c r="P6" s="90">
        <f t="shared" ref="P6:P7" si="0">SUM(N6:O6)</f>
        <v>980.94</v>
      </c>
      <c r="Q6" s="177">
        <v>0</v>
      </c>
      <c r="R6" s="90">
        <v>0</v>
      </c>
      <c r="S6" s="88">
        <v>0</v>
      </c>
      <c r="T6" s="90">
        <v>0</v>
      </c>
      <c r="U6" s="90">
        <f t="shared" ref="U6:U7" si="1">(Q6*R6)+(S6*T6)</f>
        <v>0</v>
      </c>
      <c r="V6" s="90">
        <f t="shared" ref="V6:V7" si="2">U6+P6</f>
        <v>980.94</v>
      </c>
      <c r="W6" s="90">
        <f t="shared" ref="W6:W7" si="3">V6</f>
        <v>980.94</v>
      </c>
      <c r="X6" s="177"/>
    </row>
    <row r="7" spans="1:24" ht="38.25">
      <c r="A7" s="97" t="s">
        <v>253</v>
      </c>
      <c r="B7" s="97" t="s">
        <v>212</v>
      </c>
      <c r="C7" s="97" t="s">
        <v>100</v>
      </c>
      <c r="D7" s="29" t="s">
        <v>101</v>
      </c>
      <c r="E7" s="20" t="s">
        <v>102</v>
      </c>
      <c r="F7" s="88" t="s">
        <v>558</v>
      </c>
      <c r="G7" s="88" t="s">
        <v>36</v>
      </c>
      <c r="H7" s="88" t="s">
        <v>37</v>
      </c>
      <c r="I7" s="88" t="s">
        <v>38</v>
      </c>
      <c r="J7" s="88" t="s">
        <v>62</v>
      </c>
      <c r="K7" s="88" t="s">
        <v>414</v>
      </c>
      <c r="L7" s="47">
        <v>43892</v>
      </c>
      <c r="M7" s="47">
        <v>43895</v>
      </c>
      <c r="N7" s="179">
        <f>2026.59/2</f>
        <v>1013.295</v>
      </c>
      <c r="O7" s="179">
        <f>2026.59/2</f>
        <v>1013.295</v>
      </c>
      <c r="P7" s="90">
        <f t="shared" si="0"/>
        <v>2026.59</v>
      </c>
      <c r="Q7" s="95">
        <v>4</v>
      </c>
      <c r="R7" s="90">
        <v>120</v>
      </c>
      <c r="S7" s="88">
        <v>4</v>
      </c>
      <c r="T7" s="90">
        <v>100</v>
      </c>
      <c r="U7" s="90">
        <f t="shared" si="1"/>
        <v>880</v>
      </c>
      <c r="V7" s="90">
        <f t="shared" si="2"/>
        <v>2906.59</v>
      </c>
      <c r="W7" s="90">
        <f t="shared" si="3"/>
        <v>2906.59</v>
      </c>
      <c r="X7" s="93"/>
    </row>
    <row r="13" spans="1:24">
      <c r="Q13" s="57"/>
    </row>
    <row r="14" spans="1:24">
      <c r="Q14" s="57"/>
    </row>
    <row r="15" spans="1:24">
      <c r="Q15" s="57"/>
    </row>
    <row r="16" spans="1:24">
      <c r="Q16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6" spans="1:24" ht="15">
      <c r="A6" s="97"/>
      <c r="B6" s="97"/>
      <c r="C6" s="97"/>
      <c r="D6" s="29"/>
      <c r="E6" s="20"/>
      <c r="F6" s="88"/>
      <c r="G6" s="88"/>
      <c r="H6" s="88"/>
      <c r="I6" s="88"/>
      <c r="J6" s="88"/>
      <c r="K6" s="88"/>
      <c r="L6" s="47"/>
      <c r="M6" s="47"/>
      <c r="N6" s="90"/>
      <c r="O6" s="90"/>
      <c r="P6" s="90"/>
      <c r="Q6" s="88"/>
      <c r="R6" s="90"/>
      <c r="S6" s="88"/>
      <c r="T6" s="90"/>
      <c r="U6" s="90"/>
      <c r="V6" s="90"/>
      <c r="W6" s="90"/>
      <c r="X6" s="88"/>
    </row>
    <row r="7" spans="1:24" ht="15">
      <c r="A7" s="97"/>
      <c r="B7" s="97"/>
      <c r="C7" s="97"/>
      <c r="D7" s="29"/>
      <c r="E7" s="20"/>
      <c r="F7" s="88"/>
      <c r="G7" s="88"/>
      <c r="H7" s="88"/>
      <c r="I7" s="88"/>
      <c r="J7" s="88"/>
      <c r="K7" s="88"/>
      <c r="L7" s="47"/>
      <c r="M7" s="47"/>
      <c r="N7" s="90"/>
      <c r="O7" s="90"/>
      <c r="P7" s="90"/>
      <c r="Q7" s="88"/>
      <c r="R7" s="90"/>
      <c r="S7" s="88"/>
      <c r="T7" s="90"/>
      <c r="U7" s="90"/>
      <c r="V7" s="90"/>
      <c r="W7" s="90"/>
      <c r="X7" s="88"/>
    </row>
    <row r="8" spans="1:24" ht="15">
      <c r="A8" s="97"/>
      <c r="B8" s="97"/>
      <c r="C8" s="97"/>
      <c r="D8" s="29"/>
      <c r="E8" s="20"/>
      <c r="F8" s="88"/>
      <c r="G8" s="88"/>
      <c r="H8" s="88"/>
      <c r="I8" s="88"/>
      <c r="J8" s="88"/>
      <c r="K8" s="88"/>
      <c r="L8" s="47"/>
      <c r="M8" s="47"/>
      <c r="N8" s="90"/>
      <c r="O8" s="90"/>
      <c r="P8" s="90"/>
      <c r="Q8" s="88"/>
      <c r="R8" s="90"/>
      <c r="S8" s="88"/>
      <c r="T8" s="90"/>
      <c r="U8" s="90"/>
      <c r="V8" s="90"/>
      <c r="W8" s="90"/>
      <c r="X8" s="88"/>
    </row>
    <row r="9" spans="1:24" ht="15">
      <c r="A9" s="177"/>
      <c r="B9" s="177"/>
      <c r="C9" s="177"/>
      <c r="D9" s="54"/>
      <c r="E9" s="55"/>
      <c r="F9" s="88"/>
      <c r="G9" s="81"/>
      <c r="H9" s="81"/>
      <c r="I9" s="81"/>
      <c r="J9" s="81"/>
      <c r="K9" s="81"/>
      <c r="L9" s="56"/>
      <c r="M9" s="56"/>
      <c r="N9" s="178"/>
      <c r="O9" s="178"/>
      <c r="P9" s="178"/>
      <c r="Q9" s="177"/>
      <c r="R9" s="90"/>
      <c r="S9" s="88"/>
      <c r="T9" s="90"/>
      <c r="U9" s="90"/>
      <c r="V9" s="90"/>
      <c r="W9" s="90"/>
      <c r="X9" s="177"/>
    </row>
    <row r="10" spans="1:24" ht="15">
      <c r="A10" s="177"/>
      <c r="B10" s="177"/>
      <c r="C10" s="177"/>
      <c r="D10" s="54"/>
      <c r="E10" s="55"/>
      <c r="F10" s="93"/>
      <c r="G10" s="81"/>
      <c r="H10" s="81"/>
      <c r="I10" s="81"/>
      <c r="J10" s="81"/>
      <c r="K10" s="81"/>
      <c r="L10" s="56"/>
      <c r="M10" s="56"/>
      <c r="N10" s="178"/>
      <c r="O10" s="178"/>
      <c r="P10" s="178"/>
      <c r="Q10" s="93"/>
      <c r="R10" s="90"/>
      <c r="S10" s="88"/>
      <c r="T10" s="90"/>
      <c r="U10" s="90"/>
      <c r="V10" s="90"/>
      <c r="W10" s="90"/>
      <c r="X10" s="93"/>
    </row>
    <row r="11" spans="1:24" ht="15">
      <c r="A11" s="177"/>
      <c r="B11" s="177"/>
      <c r="C11" s="177"/>
      <c r="D11" s="86"/>
      <c r="E11" s="20"/>
      <c r="F11" s="93"/>
      <c r="G11" s="81"/>
      <c r="H11" s="81"/>
      <c r="I11" s="81"/>
      <c r="J11" s="81"/>
      <c r="K11" s="81"/>
      <c r="L11" s="56"/>
      <c r="M11" s="56"/>
      <c r="N11" s="178"/>
      <c r="O11" s="178"/>
      <c r="P11" s="178"/>
      <c r="Q11" s="88"/>
      <c r="R11" s="90"/>
      <c r="S11" s="88"/>
      <c r="T11" s="90"/>
      <c r="U11" s="90"/>
      <c r="V11" s="90"/>
      <c r="W11" s="90"/>
      <c r="X11" s="88"/>
    </row>
    <row r="12" spans="1:24" ht="15">
      <c r="A12" s="97"/>
      <c r="B12" s="97"/>
      <c r="C12" s="97"/>
      <c r="D12" s="29"/>
      <c r="E12" s="20"/>
      <c r="F12" s="93"/>
      <c r="G12" s="88"/>
      <c r="H12" s="88"/>
      <c r="I12" s="88"/>
      <c r="J12" s="88"/>
      <c r="K12" s="88"/>
      <c r="L12" s="47"/>
      <c r="M12" s="47"/>
      <c r="N12" s="179"/>
      <c r="O12" s="179"/>
      <c r="P12" s="179"/>
      <c r="Q12" s="88"/>
      <c r="R12" s="90"/>
      <c r="S12" s="88"/>
      <c r="T12" s="90"/>
      <c r="U12" s="90"/>
      <c r="V12" s="90"/>
      <c r="W12" s="90"/>
      <c r="X12" s="88"/>
    </row>
    <row r="18" spans="17:17">
      <c r="Q18" s="57"/>
    </row>
    <row r="19" spans="17:17">
      <c r="Q19" s="57"/>
    </row>
    <row r="20" spans="17:17">
      <c r="Q20" s="57"/>
    </row>
    <row r="21" spans="17:17">
      <c r="Q21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6" spans="1:24" ht="15">
      <c r="A6" s="97"/>
      <c r="B6" s="97"/>
      <c r="C6" s="97"/>
      <c r="D6" s="29"/>
      <c r="E6" s="20"/>
      <c r="F6" s="88"/>
      <c r="G6" s="88"/>
      <c r="H6" s="88"/>
      <c r="I6" s="88"/>
      <c r="J6" s="88"/>
      <c r="K6" s="88"/>
      <c r="L6" s="47"/>
      <c r="M6" s="47"/>
      <c r="N6" s="90"/>
      <c r="O6" s="90"/>
      <c r="P6" s="90"/>
      <c r="Q6" s="88"/>
      <c r="R6" s="90"/>
      <c r="S6" s="88"/>
      <c r="T6" s="90"/>
      <c r="U6" s="90"/>
      <c r="V6" s="90"/>
      <c r="W6" s="90"/>
      <c r="X6" s="88"/>
    </row>
    <row r="7" spans="1:24" ht="15">
      <c r="A7" s="97"/>
      <c r="B7" s="97"/>
      <c r="C7" s="97"/>
      <c r="D7" s="29"/>
      <c r="E7" s="20"/>
      <c r="F7" s="88"/>
      <c r="G7" s="88"/>
      <c r="H7" s="88"/>
      <c r="I7" s="88"/>
      <c r="J7" s="88"/>
      <c r="K7" s="88"/>
      <c r="L7" s="47"/>
      <c r="M7" s="47"/>
      <c r="N7" s="90"/>
      <c r="O7" s="90"/>
      <c r="P7" s="90"/>
      <c r="Q7" s="88"/>
      <c r="R7" s="90"/>
      <c r="S7" s="88"/>
      <c r="T7" s="90"/>
      <c r="U7" s="90"/>
      <c r="V7" s="90"/>
      <c r="W7" s="90"/>
      <c r="X7" s="88"/>
    </row>
    <row r="8" spans="1:24" ht="15">
      <c r="A8" s="97"/>
      <c r="B8" s="97"/>
      <c r="C8" s="97"/>
      <c r="D8" s="29"/>
      <c r="E8" s="20"/>
      <c r="F8" s="88"/>
      <c r="G8" s="88"/>
      <c r="H8" s="88"/>
      <c r="I8" s="88"/>
      <c r="J8" s="88"/>
      <c r="K8" s="88"/>
      <c r="L8" s="47"/>
      <c r="M8" s="47"/>
      <c r="N8" s="90"/>
      <c r="O8" s="90"/>
      <c r="P8" s="90"/>
      <c r="Q8" s="88"/>
      <c r="R8" s="90"/>
      <c r="S8" s="88"/>
      <c r="T8" s="90"/>
      <c r="U8" s="90"/>
      <c r="V8" s="90"/>
      <c r="W8" s="90"/>
      <c r="X8" s="88"/>
    </row>
    <row r="9" spans="1:24" ht="15">
      <c r="A9" s="177"/>
      <c r="B9" s="177"/>
      <c r="C9" s="177"/>
      <c r="D9" s="54"/>
      <c r="E9" s="55"/>
      <c r="F9" s="88"/>
      <c r="G9" s="81"/>
      <c r="H9" s="81"/>
      <c r="I9" s="81"/>
      <c r="J9" s="81"/>
      <c r="K9" s="81"/>
      <c r="L9" s="56"/>
      <c r="M9" s="56"/>
      <c r="N9" s="178"/>
      <c r="O9" s="178"/>
      <c r="P9" s="178"/>
      <c r="Q9" s="177"/>
      <c r="R9" s="90"/>
      <c r="S9" s="88"/>
      <c r="T9" s="90"/>
      <c r="U9" s="90"/>
      <c r="V9" s="90"/>
      <c r="W9" s="90"/>
      <c r="X9" s="177"/>
    </row>
    <row r="10" spans="1:24" ht="15">
      <c r="A10" s="177"/>
      <c r="B10" s="177"/>
      <c r="C10" s="177"/>
      <c r="D10" s="54"/>
      <c r="E10" s="55"/>
      <c r="F10" s="93"/>
      <c r="G10" s="81"/>
      <c r="H10" s="81"/>
      <c r="I10" s="81"/>
      <c r="J10" s="81"/>
      <c r="K10" s="81"/>
      <c r="L10" s="56"/>
      <c r="M10" s="56"/>
      <c r="N10" s="178"/>
      <c r="O10" s="178"/>
      <c r="P10" s="178"/>
      <c r="Q10" s="93"/>
      <c r="R10" s="90"/>
      <c r="S10" s="88"/>
      <c r="T10" s="90"/>
      <c r="U10" s="90"/>
      <c r="V10" s="90"/>
      <c r="W10" s="90"/>
      <c r="X10" s="93"/>
    </row>
    <row r="11" spans="1:24" ht="15">
      <c r="A11" s="177"/>
      <c r="B11" s="177"/>
      <c r="C11" s="177"/>
      <c r="D11" s="86"/>
      <c r="E11" s="20"/>
      <c r="F11" s="93"/>
      <c r="G11" s="81"/>
      <c r="H11" s="81"/>
      <c r="I11" s="81"/>
      <c r="J11" s="81"/>
      <c r="K11" s="81"/>
      <c r="L11" s="56"/>
      <c r="M11" s="56"/>
      <c r="N11" s="178"/>
      <c r="O11" s="178"/>
      <c r="P11" s="178"/>
      <c r="Q11" s="88"/>
      <c r="R11" s="90"/>
      <c r="S11" s="88"/>
      <c r="T11" s="90"/>
      <c r="U11" s="90"/>
      <c r="V11" s="90"/>
      <c r="W11" s="90"/>
      <c r="X11" s="88"/>
    </row>
    <row r="12" spans="1:24" ht="15">
      <c r="A12" s="97"/>
      <c r="B12" s="97"/>
      <c r="C12" s="97"/>
      <c r="D12" s="29"/>
      <c r="E12" s="20"/>
      <c r="F12" s="93"/>
      <c r="G12" s="88"/>
      <c r="H12" s="88"/>
      <c r="I12" s="88"/>
      <c r="J12" s="88"/>
      <c r="K12" s="88"/>
      <c r="L12" s="47"/>
      <c r="M12" s="47"/>
      <c r="N12" s="179"/>
      <c r="O12" s="179"/>
      <c r="P12" s="179"/>
      <c r="Q12" s="88"/>
      <c r="R12" s="90"/>
      <c r="S12" s="88"/>
      <c r="T12" s="90"/>
      <c r="U12" s="90"/>
      <c r="V12" s="90"/>
      <c r="W12" s="90"/>
      <c r="X12" s="88"/>
    </row>
    <row r="18" spans="17:17">
      <c r="Q18" s="57"/>
    </row>
    <row r="19" spans="17:17">
      <c r="Q19" s="57"/>
    </row>
    <row r="20" spans="17:17">
      <c r="Q20" s="57"/>
    </row>
    <row r="21" spans="17:17">
      <c r="Q21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6" spans="1:24" ht="15">
      <c r="A6" s="97"/>
      <c r="B6" s="97"/>
      <c r="C6" s="97"/>
      <c r="D6" s="29"/>
      <c r="E6" s="20"/>
      <c r="F6" s="88"/>
      <c r="G6" s="88"/>
      <c r="H6" s="88"/>
      <c r="I6" s="88"/>
      <c r="J6" s="88"/>
      <c r="K6" s="88"/>
      <c r="L6" s="47"/>
      <c r="M6" s="47"/>
      <c r="N6" s="90"/>
      <c r="O6" s="90"/>
      <c r="P6" s="90"/>
      <c r="Q6" s="88"/>
      <c r="R6" s="90"/>
      <c r="S6" s="88"/>
      <c r="T6" s="90"/>
      <c r="U6" s="90"/>
      <c r="V6" s="90"/>
      <c r="W6" s="90"/>
      <c r="X6" s="88"/>
    </row>
    <row r="7" spans="1:24" ht="15">
      <c r="A7" s="97"/>
      <c r="B7" s="97"/>
      <c r="C7" s="97"/>
      <c r="D7" s="29"/>
      <c r="E7" s="20"/>
      <c r="F7" s="88"/>
      <c r="G7" s="88"/>
      <c r="H7" s="88"/>
      <c r="I7" s="88"/>
      <c r="J7" s="88"/>
      <c r="K7" s="88"/>
      <c r="L7" s="47"/>
      <c r="M7" s="47"/>
      <c r="N7" s="90"/>
      <c r="O7" s="90"/>
      <c r="P7" s="90"/>
      <c r="Q7" s="88"/>
      <c r="R7" s="90"/>
      <c r="S7" s="88"/>
      <c r="T7" s="90"/>
      <c r="U7" s="90"/>
      <c r="V7" s="90"/>
      <c r="W7" s="90"/>
      <c r="X7" s="88"/>
    </row>
    <row r="8" spans="1:24" ht="15">
      <c r="A8" s="97"/>
      <c r="B8" s="97"/>
      <c r="C8" s="97"/>
      <c r="D8" s="29"/>
      <c r="E8" s="20"/>
      <c r="F8" s="88"/>
      <c r="G8" s="88"/>
      <c r="H8" s="88"/>
      <c r="I8" s="88"/>
      <c r="J8" s="88"/>
      <c r="K8" s="88"/>
      <c r="L8" s="47"/>
      <c r="M8" s="47"/>
      <c r="N8" s="90"/>
      <c r="O8" s="90"/>
      <c r="P8" s="90"/>
      <c r="Q8" s="88"/>
      <c r="R8" s="90"/>
      <c r="S8" s="88"/>
      <c r="T8" s="90"/>
      <c r="U8" s="90"/>
      <c r="V8" s="90"/>
      <c r="W8" s="90"/>
      <c r="X8" s="88"/>
    </row>
    <row r="9" spans="1:24" ht="15">
      <c r="A9" s="177"/>
      <c r="B9" s="177"/>
      <c r="C9" s="177"/>
      <c r="D9" s="54"/>
      <c r="E9" s="55"/>
      <c r="F9" s="88"/>
      <c r="G9" s="81"/>
      <c r="H9" s="81"/>
      <c r="I9" s="81"/>
      <c r="J9" s="81"/>
      <c r="K9" s="81"/>
      <c r="L9" s="56"/>
      <c r="M9" s="56"/>
      <c r="N9" s="178"/>
      <c r="O9" s="178"/>
      <c r="P9" s="178"/>
      <c r="Q9" s="177"/>
      <c r="R9" s="90"/>
      <c r="S9" s="88"/>
      <c r="T9" s="90"/>
      <c r="U9" s="90"/>
      <c r="V9" s="90"/>
      <c r="W9" s="90"/>
      <c r="X9" s="177"/>
    </row>
    <row r="10" spans="1:24" ht="15">
      <c r="A10" s="177"/>
      <c r="B10" s="177"/>
      <c r="C10" s="177"/>
      <c r="D10" s="54"/>
      <c r="E10" s="55"/>
      <c r="F10" s="93"/>
      <c r="G10" s="81"/>
      <c r="H10" s="81"/>
      <c r="I10" s="81"/>
      <c r="J10" s="81"/>
      <c r="K10" s="81"/>
      <c r="L10" s="56"/>
      <c r="M10" s="56"/>
      <c r="N10" s="178"/>
      <c r="O10" s="178"/>
      <c r="P10" s="178"/>
      <c r="Q10" s="93"/>
      <c r="R10" s="90"/>
      <c r="S10" s="88"/>
      <c r="T10" s="90"/>
      <c r="U10" s="90"/>
      <c r="V10" s="90"/>
      <c r="W10" s="90"/>
      <c r="X10" s="93"/>
    </row>
    <row r="11" spans="1:24" ht="15">
      <c r="A11" s="177"/>
      <c r="B11" s="177"/>
      <c r="C11" s="177"/>
      <c r="D11" s="86"/>
      <c r="E11" s="20"/>
      <c r="F11" s="93"/>
      <c r="G11" s="81"/>
      <c r="H11" s="81"/>
      <c r="I11" s="81"/>
      <c r="J11" s="81"/>
      <c r="K11" s="81"/>
      <c r="L11" s="56"/>
      <c r="M11" s="56"/>
      <c r="N11" s="178"/>
      <c r="O11" s="178"/>
      <c r="P11" s="178"/>
      <c r="Q11" s="88"/>
      <c r="R11" s="90"/>
      <c r="S11" s="88"/>
      <c r="T11" s="90"/>
      <c r="U11" s="90"/>
      <c r="V11" s="90"/>
      <c r="W11" s="90"/>
      <c r="X11" s="88"/>
    </row>
    <row r="12" spans="1:24" ht="15">
      <c r="A12" s="97"/>
      <c r="B12" s="97"/>
      <c r="C12" s="97"/>
      <c r="D12" s="29"/>
      <c r="E12" s="20"/>
      <c r="F12" s="93"/>
      <c r="G12" s="88"/>
      <c r="H12" s="88"/>
      <c r="I12" s="88"/>
      <c r="J12" s="88"/>
      <c r="K12" s="88"/>
      <c r="L12" s="47"/>
      <c r="M12" s="47"/>
      <c r="N12" s="179"/>
      <c r="O12" s="179"/>
      <c r="P12" s="179"/>
      <c r="Q12" s="88"/>
      <c r="R12" s="90"/>
      <c r="S12" s="88"/>
      <c r="T12" s="90"/>
      <c r="U12" s="90"/>
      <c r="V12" s="90"/>
      <c r="W12" s="90"/>
      <c r="X12" s="88"/>
    </row>
    <row r="18" spans="17:17">
      <c r="Q18" s="57"/>
    </row>
    <row r="19" spans="17:17">
      <c r="Q19" s="57"/>
    </row>
    <row r="20" spans="17:17">
      <c r="Q20" s="57"/>
    </row>
    <row r="21" spans="17:17">
      <c r="Q21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6" spans="1:24" ht="15">
      <c r="A6" s="97"/>
      <c r="B6" s="97"/>
      <c r="C6" s="97"/>
      <c r="D6" s="29"/>
      <c r="E6" s="20"/>
      <c r="F6" s="88"/>
      <c r="G6" s="88"/>
      <c r="H6" s="88"/>
      <c r="I6" s="88"/>
      <c r="J6" s="88"/>
      <c r="K6" s="88"/>
      <c r="L6" s="47"/>
      <c r="M6" s="47"/>
      <c r="N6" s="90"/>
      <c r="O6" s="90"/>
      <c r="P6" s="90"/>
      <c r="Q6" s="88"/>
      <c r="R6" s="90"/>
      <c r="S6" s="88"/>
      <c r="T6" s="90"/>
      <c r="U6" s="90"/>
      <c r="V6" s="90"/>
      <c r="W6" s="90"/>
      <c r="X6" s="88"/>
    </row>
    <row r="7" spans="1:24" ht="15">
      <c r="A7" s="97"/>
      <c r="B7" s="97"/>
      <c r="C7" s="97"/>
      <c r="D7" s="29"/>
      <c r="E7" s="20"/>
      <c r="F7" s="88"/>
      <c r="G7" s="88"/>
      <c r="H7" s="88"/>
      <c r="I7" s="88"/>
      <c r="J7" s="88"/>
      <c r="K7" s="88"/>
      <c r="L7" s="47"/>
      <c r="M7" s="47"/>
      <c r="N7" s="90"/>
      <c r="O7" s="90"/>
      <c r="P7" s="90"/>
      <c r="Q7" s="88"/>
      <c r="R7" s="90"/>
      <c r="S7" s="88"/>
      <c r="T7" s="90"/>
      <c r="U7" s="90"/>
      <c r="V7" s="90"/>
      <c r="W7" s="90"/>
      <c r="X7" s="88"/>
    </row>
    <row r="8" spans="1:24" ht="15">
      <c r="A8" s="97"/>
      <c r="B8" s="97"/>
      <c r="C8" s="97"/>
      <c r="D8" s="29"/>
      <c r="E8" s="20"/>
      <c r="F8" s="88"/>
      <c r="G8" s="88"/>
      <c r="H8" s="88"/>
      <c r="I8" s="88"/>
      <c r="J8" s="88"/>
      <c r="K8" s="88"/>
      <c r="L8" s="47"/>
      <c r="M8" s="47"/>
      <c r="N8" s="90"/>
      <c r="O8" s="90"/>
      <c r="P8" s="90"/>
      <c r="Q8" s="88"/>
      <c r="R8" s="90"/>
      <c r="S8" s="88"/>
      <c r="T8" s="90"/>
      <c r="U8" s="90"/>
      <c r="V8" s="90"/>
      <c r="W8" s="90"/>
      <c r="X8" s="88"/>
    </row>
    <row r="9" spans="1:24" ht="15">
      <c r="A9" s="177"/>
      <c r="B9" s="177"/>
      <c r="C9" s="177"/>
      <c r="D9" s="54"/>
      <c r="E9" s="55"/>
      <c r="F9" s="88"/>
      <c r="G9" s="81"/>
      <c r="H9" s="81"/>
      <c r="I9" s="81"/>
      <c r="J9" s="81"/>
      <c r="K9" s="81"/>
      <c r="L9" s="56"/>
      <c r="M9" s="56"/>
      <c r="N9" s="178"/>
      <c r="O9" s="178"/>
      <c r="P9" s="178"/>
      <c r="Q9" s="177"/>
      <c r="R9" s="90"/>
      <c r="S9" s="88"/>
      <c r="T9" s="90"/>
      <c r="U9" s="90"/>
      <c r="V9" s="90"/>
      <c r="W9" s="90"/>
      <c r="X9" s="177"/>
    </row>
    <row r="10" spans="1:24" ht="15">
      <c r="A10" s="177"/>
      <c r="B10" s="177"/>
      <c r="C10" s="177"/>
      <c r="D10" s="54"/>
      <c r="E10" s="55"/>
      <c r="F10" s="93"/>
      <c r="G10" s="81"/>
      <c r="H10" s="81"/>
      <c r="I10" s="81"/>
      <c r="J10" s="81"/>
      <c r="K10" s="81"/>
      <c r="L10" s="56"/>
      <c r="M10" s="56"/>
      <c r="N10" s="178"/>
      <c r="O10" s="178"/>
      <c r="P10" s="178"/>
      <c r="Q10" s="93"/>
      <c r="R10" s="90"/>
      <c r="S10" s="88"/>
      <c r="T10" s="90"/>
      <c r="U10" s="90"/>
      <c r="V10" s="90"/>
      <c r="W10" s="90"/>
      <c r="X10" s="93"/>
    </row>
    <row r="11" spans="1:24" ht="15">
      <c r="A11" s="177"/>
      <c r="B11" s="177"/>
      <c r="C11" s="177"/>
      <c r="D11" s="86"/>
      <c r="E11" s="20"/>
      <c r="F11" s="93"/>
      <c r="G11" s="81"/>
      <c r="H11" s="81"/>
      <c r="I11" s="81"/>
      <c r="J11" s="81"/>
      <c r="K11" s="81"/>
      <c r="L11" s="56"/>
      <c r="M11" s="56"/>
      <c r="N11" s="178"/>
      <c r="O11" s="178"/>
      <c r="P11" s="178"/>
      <c r="Q11" s="88"/>
      <c r="R11" s="90"/>
      <c r="S11" s="88"/>
      <c r="T11" s="90"/>
      <c r="U11" s="90"/>
      <c r="V11" s="90"/>
      <c r="W11" s="90"/>
      <c r="X11" s="88"/>
    </row>
    <row r="12" spans="1:24" ht="15">
      <c r="A12" s="97"/>
      <c r="B12" s="97"/>
      <c r="C12" s="97"/>
      <c r="D12" s="29"/>
      <c r="E12" s="20"/>
      <c r="F12" s="93"/>
      <c r="G12" s="88"/>
      <c r="H12" s="88"/>
      <c r="I12" s="88"/>
      <c r="J12" s="88"/>
      <c r="K12" s="88"/>
      <c r="L12" s="47"/>
      <c r="M12" s="47"/>
      <c r="N12" s="179"/>
      <c r="O12" s="179"/>
      <c r="P12" s="179"/>
      <c r="Q12" s="88"/>
      <c r="R12" s="90"/>
      <c r="S12" s="88"/>
      <c r="T12" s="90"/>
      <c r="U12" s="90"/>
      <c r="V12" s="90"/>
      <c r="W12" s="90"/>
      <c r="X12" s="88"/>
    </row>
    <row r="18" spans="17:17">
      <c r="Q18" s="57"/>
    </row>
    <row r="19" spans="17:17">
      <c r="Q19" s="57"/>
    </row>
    <row r="20" spans="17:17">
      <c r="Q20" s="57"/>
    </row>
    <row r="21" spans="17:17">
      <c r="Q21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6" spans="1:24" ht="15">
      <c r="A6" s="97"/>
      <c r="B6" s="97"/>
      <c r="C6" s="97"/>
      <c r="D6" s="29"/>
      <c r="E6" s="20"/>
      <c r="F6" s="88"/>
      <c r="G6" s="88"/>
      <c r="H6" s="88"/>
      <c r="I6" s="88"/>
      <c r="J6" s="88"/>
      <c r="K6" s="88"/>
      <c r="L6" s="47"/>
      <c r="M6" s="47"/>
      <c r="N6" s="90"/>
      <c r="O6" s="90"/>
      <c r="P6" s="90"/>
      <c r="Q6" s="88"/>
      <c r="R6" s="90"/>
      <c r="S6" s="88"/>
      <c r="T6" s="90"/>
      <c r="U6" s="90"/>
      <c r="V6" s="90"/>
      <c r="W6" s="90"/>
      <c r="X6" s="88"/>
    </row>
    <row r="7" spans="1:24" ht="15">
      <c r="A7" s="97"/>
      <c r="B7" s="97"/>
      <c r="C7" s="97"/>
      <c r="D7" s="29"/>
      <c r="E7" s="20"/>
      <c r="F7" s="88"/>
      <c r="G7" s="88"/>
      <c r="H7" s="88"/>
      <c r="I7" s="88"/>
      <c r="J7" s="88"/>
      <c r="K7" s="88"/>
      <c r="L7" s="47"/>
      <c r="M7" s="47"/>
      <c r="N7" s="90"/>
      <c r="O7" s="90"/>
      <c r="P7" s="90"/>
      <c r="Q7" s="88"/>
      <c r="R7" s="90"/>
      <c r="S7" s="88"/>
      <c r="T7" s="90"/>
      <c r="U7" s="90"/>
      <c r="V7" s="90"/>
      <c r="W7" s="90"/>
      <c r="X7" s="88"/>
    </row>
    <row r="8" spans="1:24" ht="15">
      <c r="A8" s="97"/>
      <c r="B8" s="97"/>
      <c r="C8" s="97"/>
      <c r="D8" s="29"/>
      <c r="E8" s="20"/>
      <c r="F8" s="88"/>
      <c r="G8" s="88"/>
      <c r="H8" s="88"/>
      <c r="I8" s="88"/>
      <c r="J8" s="88"/>
      <c r="K8" s="88"/>
      <c r="L8" s="47"/>
      <c r="M8" s="47"/>
      <c r="N8" s="90"/>
      <c r="O8" s="90"/>
      <c r="P8" s="90"/>
      <c r="Q8" s="88"/>
      <c r="R8" s="90"/>
      <c r="S8" s="88"/>
      <c r="T8" s="90"/>
      <c r="U8" s="90"/>
      <c r="V8" s="90"/>
      <c r="W8" s="90"/>
      <c r="X8" s="88"/>
    </row>
    <row r="9" spans="1:24" ht="15">
      <c r="A9" s="177"/>
      <c r="B9" s="177"/>
      <c r="C9" s="177"/>
      <c r="D9" s="54"/>
      <c r="E9" s="55"/>
      <c r="F9" s="88"/>
      <c r="G9" s="81"/>
      <c r="H9" s="81"/>
      <c r="I9" s="81"/>
      <c r="J9" s="81"/>
      <c r="K9" s="81"/>
      <c r="L9" s="56"/>
      <c r="M9" s="56"/>
      <c r="N9" s="178"/>
      <c r="O9" s="178"/>
      <c r="P9" s="178"/>
      <c r="Q9" s="177"/>
      <c r="R9" s="90"/>
      <c r="S9" s="88"/>
      <c r="T9" s="90"/>
      <c r="U9" s="90"/>
      <c r="V9" s="90"/>
      <c r="W9" s="90"/>
      <c r="X9" s="177"/>
    </row>
    <row r="10" spans="1:24" ht="15">
      <c r="A10" s="177"/>
      <c r="B10" s="177"/>
      <c r="C10" s="177"/>
      <c r="D10" s="54"/>
      <c r="E10" s="55"/>
      <c r="F10" s="93"/>
      <c r="G10" s="81"/>
      <c r="H10" s="81"/>
      <c r="I10" s="81"/>
      <c r="J10" s="81"/>
      <c r="K10" s="81"/>
      <c r="L10" s="56"/>
      <c r="M10" s="56"/>
      <c r="N10" s="178"/>
      <c r="O10" s="178"/>
      <c r="P10" s="178"/>
      <c r="Q10" s="93"/>
      <c r="R10" s="90"/>
      <c r="S10" s="88"/>
      <c r="T10" s="90"/>
      <c r="U10" s="90"/>
      <c r="V10" s="90"/>
      <c r="W10" s="90"/>
      <c r="X10" s="93"/>
    </row>
    <row r="11" spans="1:24" ht="15">
      <c r="A11" s="177"/>
      <c r="B11" s="177"/>
      <c r="C11" s="177"/>
      <c r="D11" s="86"/>
      <c r="E11" s="20"/>
      <c r="F11" s="93"/>
      <c r="G11" s="81"/>
      <c r="H11" s="81"/>
      <c r="I11" s="81"/>
      <c r="J11" s="81"/>
      <c r="K11" s="81"/>
      <c r="L11" s="56"/>
      <c r="M11" s="56"/>
      <c r="N11" s="178"/>
      <c r="O11" s="178"/>
      <c r="P11" s="178"/>
      <c r="Q11" s="88"/>
      <c r="R11" s="90"/>
      <c r="S11" s="88"/>
      <c r="T11" s="90"/>
      <c r="U11" s="90"/>
      <c r="V11" s="90"/>
      <c r="W11" s="90"/>
      <c r="X11" s="88"/>
    </row>
    <row r="12" spans="1:24" ht="15">
      <c r="A12" s="97"/>
      <c r="B12" s="97"/>
      <c r="C12" s="97"/>
      <c r="D12" s="29"/>
      <c r="E12" s="20"/>
      <c r="F12" s="93"/>
      <c r="G12" s="88"/>
      <c r="H12" s="88"/>
      <c r="I12" s="88"/>
      <c r="J12" s="88"/>
      <c r="K12" s="88"/>
      <c r="L12" s="47"/>
      <c r="M12" s="47"/>
      <c r="N12" s="179"/>
      <c r="O12" s="179"/>
      <c r="P12" s="179"/>
      <c r="Q12" s="88"/>
      <c r="R12" s="90"/>
      <c r="S12" s="88"/>
      <c r="T12" s="90"/>
      <c r="U12" s="90"/>
      <c r="V12" s="90"/>
      <c r="W12" s="90"/>
      <c r="X12" s="88"/>
    </row>
    <row r="18" spans="17:17">
      <c r="Q18" s="57"/>
    </row>
    <row r="19" spans="17:17">
      <c r="Q19" s="57"/>
    </row>
    <row r="20" spans="17:17">
      <c r="Q20" s="57"/>
    </row>
    <row r="21" spans="17:17">
      <c r="Q21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29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6" spans="1:24" ht="15">
      <c r="A6" s="97"/>
      <c r="B6" s="97"/>
      <c r="C6" s="97"/>
      <c r="D6" s="29"/>
      <c r="E6" s="20"/>
      <c r="F6" s="88"/>
      <c r="G6" s="88"/>
      <c r="H6" s="88"/>
      <c r="I6" s="88"/>
      <c r="J6" s="88"/>
      <c r="K6" s="88"/>
      <c r="L6" s="47"/>
      <c r="M6" s="47"/>
      <c r="N6" s="90"/>
      <c r="O6" s="90"/>
      <c r="P6" s="90"/>
      <c r="Q6" s="88"/>
      <c r="R6" s="90"/>
      <c r="S6" s="88"/>
      <c r="T6" s="90"/>
      <c r="U6" s="90"/>
      <c r="V6" s="90"/>
      <c r="W6" s="90"/>
      <c r="X6" s="88"/>
    </row>
    <row r="7" spans="1:24" ht="15">
      <c r="A7" s="97"/>
      <c r="B7" s="97"/>
      <c r="C7" s="97"/>
      <c r="D7" s="29"/>
      <c r="E7" s="20"/>
      <c r="F7" s="88"/>
      <c r="G7" s="88"/>
      <c r="H7" s="88"/>
      <c r="I7" s="88"/>
      <c r="J7" s="88"/>
      <c r="K7" s="88"/>
      <c r="L7" s="47"/>
      <c r="M7" s="47"/>
      <c r="N7" s="90"/>
      <c r="O7" s="90"/>
      <c r="P7" s="90"/>
      <c r="Q7" s="88"/>
      <c r="R7" s="90"/>
      <c r="S7" s="88"/>
      <c r="T7" s="90"/>
      <c r="U7" s="90"/>
      <c r="V7" s="90"/>
      <c r="W7" s="90"/>
      <c r="X7" s="88"/>
    </row>
    <row r="8" spans="1:24" ht="15">
      <c r="A8" s="97"/>
      <c r="B8" s="97"/>
      <c r="C8" s="97"/>
      <c r="D8" s="29"/>
      <c r="E8" s="20"/>
      <c r="F8" s="88"/>
      <c r="G8" s="88"/>
      <c r="H8" s="88"/>
      <c r="I8" s="88"/>
      <c r="J8" s="88"/>
      <c r="K8" s="88"/>
      <c r="L8" s="47"/>
      <c r="M8" s="47"/>
      <c r="N8" s="90"/>
      <c r="O8" s="90"/>
      <c r="P8" s="90"/>
      <c r="Q8" s="88"/>
      <c r="R8" s="90"/>
      <c r="S8" s="88"/>
      <c r="T8" s="90"/>
      <c r="U8" s="90"/>
      <c r="V8" s="90"/>
      <c r="W8" s="90"/>
      <c r="X8" s="88"/>
    </row>
    <row r="9" spans="1:24" ht="15">
      <c r="A9" s="177"/>
      <c r="B9" s="177"/>
      <c r="C9" s="177"/>
      <c r="D9" s="54"/>
      <c r="E9" s="55"/>
      <c r="F9" s="88"/>
      <c r="G9" s="81"/>
      <c r="H9" s="81"/>
      <c r="I9" s="81"/>
      <c r="J9" s="81"/>
      <c r="K9" s="81"/>
      <c r="L9" s="56"/>
      <c r="M9" s="56"/>
      <c r="N9" s="178"/>
      <c r="O9" s="178"/>
      <c r="P9" s="178"/>
      <c r="Q9" s="177"/>
      <c r="R9" s="90"/>
      <c r="S9" s="88"/>
      <c r="T9" s="90"/>
      <c r="U9" s="90"/>
      <c r="V9" s="90"/>
      <c r="W9" s="90"/>
      <c r="X9" s="177"/>
    </row>
    <row r="10" spans="1:24" ht="15">
      <c r="A10" s="177"/>
      <c r="B10" s="177"/>
      <c r="C10" s="177"/>
      <c r="D10" s="54"/>
      <c r="E10" s="55"/>
      <c r="F10" s="93"/>
      <c r="G10" s="81"/>
      <c r="H10" s="81"/>
      <c r="I10" s="81"/>
      <c r="J10" s="81"/>
      <c r="K10" s="81"/>
      <c r="L10" s="56"/>
      <c r="M10" s="56"/>
      <c r="N10" s="178"/>
      <c r="O10" s="178"/>
      <c r="P10" s="178"/>
      <c r="Q10" s="93"/>
      <c r="R10" s="90"/>
      <c r="S10" s="88"/>
      <c r="T10" s="90"/>
      <c r="U10" s="90"/>
      <c r="V10" s="90"/>
      <c r="W10" s="90"/>
      <c r="X10" s="93"/>
    </row>
    <row r="11" spans="1:24" ht="15">
      <c r="A11" s="177"/>
      <c r="B11" s="177"/>
      <c r="C11" s="177"/>
      <c r="D11" s="86"/>
      <c r="E11" s="20"/>
      <c r="F11" s="93"/>
      <c r="G11" s="81"/>
      <c r="H11" s="81"/>
      <c r="I11" s="81"/>
      <c r="J11" s="81"/>
      <c r="K11" s="81"/>
      <c r="L11" s="56"/>
      <c r="M11" s="56"/>
      <c r="N11" s="178"/>
      <c r="O11" s="178"/>
      <c r="P11" s="178"/>
      <c r="Q11" s="88"/>
      <c r="R11" s="90"/>
      <c r="S11" s="88"/>
      <c r="T11" s="90"/>
      <c r="U11" s="90"/>
      <c r="V11" s="90"/>
      <c r="W11" s="90"/>
      <c r="X11" s="88"/>
    </row>
    <row r="12" spans="1:24" ht="15">
      <c r="A12" s="97"/>
      <c r="B12" s="97"/>
      <c r="C12" s="97"/>
      <c r="D12" s="29"/>
      <c r="E12" s="20"/>
      <c r="F12" s="93"/>
      <c r="G12" s="88"/>
      <c r="H12" s="88"/>
      <c r="I12" s="88"/>
      <c r="J12" s="88"/>
      <c r="K12" s="88"/>
      <c r="L12" s="47"/>
      <c r="M12" s="47"/>
      <c r="N12" s="179"/>
      <c r="O12" s="179"/>
      <c r="P12" s="179"/>
      <c r="Q12" s="88"/>
      <c r="R12" s="90"/>
      <c r="S12" s="88"/>
      <c r="T12" s="90"/>
      <c r="U12" s="90"/>
      <c r="V12" s="90"/>
      <c r="W12" s="90"/>
      <c r="X12" s="88"/>
    </row>
    <row r="18" spans="17:17">
      <c r="Q18" s="57"/>
    </row>
    <row r="19" spans="17:17">
      <c r="Q19" s="57"/>
    </row>
    <row r="20" spans="17:17">
      <c r="Q20" s="57"/>
    </row>
    <row r="21" spans="17:17">
      <c r="Q21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51">
      <c r="A5" s="97" t="s">
        <v>371</v>
      </c>
      <c r="B5" s="97" t="s">
        <v>396</v>
      </c>
      <c r="C5" s="97" t="s">
        <v>267</v>
      </c>
      <c r="D5" s="29" t="s">
        <v>572</v>
      </c>
      <c r="E5" s="20" t="s">
        <v>157</v>
      </c>
      <c r="F5" s="88" t="s">
        <v>573</v>
      </c>
      <c r="G5" s="88" t="s">
        <v>36</v>
      </c>
      <c r="H5" s="88" t="s">
        <v>37</v>
      </c>
      <c r="I5" s="88" t="s">
        <v>38</v>
      </c>
      <c r="J5" s="88" t="s">
        <v>37</v>
      </c>
      <c r="K5" s="88" t="s">
        <v>391</v>
      </c>
      <c r="L5" s="47">
        <v>44108</v>
      </c>
      <c r="M5" s="47">
        <v>44111</v>
      </c>
      <c r="N5" s="90">
        <f>1523.51/2</f>
        <v>761.755</v>
      </c>
      <c r="O5" s="90">
        <f>1523.51/2</f>
        <v>761.755</v>
      </c>
      <c r="P5" s="90">
        <f>SUM(N5:O5)</f>
        <v>1523.51</v>
      </c>
      <c r="Q5" s="88">
        <v>4</v>
      </c>
      <c r="R5" s="90">
        <v>120</v>
      </c>
      <c r="S5" s="88">
        <v>0</v>
      </c>
      <c r="T5" s="90">
        <v>0</v>
      </c>
      <c r="U5" s="90">
        <f t="shared" ref="U5:U6" si="0">(Q5*R5)+(S5*T5)</f>
        <v>480</v>
      </c>
      <c r="V5" s="90">
        <f>U5+P5</f>
        <v>2003.51</v>
      </c>
      <c r="W5" s="90">
        <f>V5</f>
        <v>2003.51</v>
      </c>
      <c r="X5" s="88"/>
    </row>
    <row r="6" spans="1:24" ht="25.5">
      <c r="A6" s="97" t="s">
        <v>253</v>
      </c>
      <c r="B6" s="97" t="s">
        <v>259</v>
      </c>
      <c r="C6" s="97" t="s">
        <v>320</v>
      </c>
      <c r="D6" s="86" t="s">
        <v>321</v>
      </c>
      <c r="E6" s="20" t="s">
        <v>343</v>
      </c>
      <c r="F6" s="88" t="s">
        <v>574</v>
      </c>
      <c r="G6" s="88" t="s">
        <v>36</v>
      </c>
      <c r="H6" s="88" t="s">
        <v>37</v>
      </c>
      <c r="I6" s="88" t="s">
        <v>38</v>
      </c>
      <c r="J6" s="88" t="s">
        <v>37</v>
      </c>
      <c r="K6" s="88" t="s">
        <v>391</v>
      </c>
      <c r="L6" s="47">
        <v>44129</v>
      </c>
      <c r="M6" s="47">
        <v>44131</v>
      </c>
      <c r="N6" s="90">
        <f>2030.41/2</f>
        <v>1015.205</v>
      </c>
      <c r="O6" s="90">
        <f>2030.41/2</f>
        <v>1015.205</v>
      </c>
      <c r="P6" s="90">
        <f t="shared" ref="P6" si="1">SUM(N6:O6)</f>
        <v>2030.41</v>
      </c>
      <c r="Q6" s="88">
        <v>3</v>
      </c>
      <c r="R6" s="90">
        <v>120</v>
      </c>
      <c r="S6" s="88"/>
      <c r="T6" s="90"/>
      <c r="U6" s="90">
        <f t="shared" si="0"/>
        <v>360</v>
      </c>
      <c r="V6" s="90">
        <f>U6+P6</f>
        <v>2390.41</v>
      </c>
      <c r="W6" s="90">
        <f>V6</f>
        <v>2390.41</v>
      </c>
      <c r="X6" s="88"/>
    </row>
    <row r="12" spans="1:24">
      <c r="Q12" s="57"/>
    </row>
    <row r="13" spans="1:24">
      <c r="Q13" s="57"/>
    </row>
    <row r="14" spans="1:24">
      <c r="Q14" s="57"/>
    </row>
    <row r="15" spans="1:24">
      <c r="Q15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25.5">
      <c r="A5" s="97" t="s">
        <v>253</v>
      </c>
      <c r="B5" s="97" t="s">
        <v>212</v>
      </c>
      <c r="C5" s="97" t="s">
        <v>539</v>
      </c>
      <c r="D5" s="86" t="s">
        <v>540</v>
      </c>
      <c r="E5" s="20" t="s">
        <v>541</v>
      </c>
      <c r="F5" s="88" t="s">
        <v>575</v>
      </c>
      <c r="G5" s="88" t="s">
        <v>36</v>
      </c>
      <c r="H5" s="88" t="s">
        <v>37</v>
      </c>
      <c r="I5" s="88" t="s">
        <v>38</v>
      </c>
      <c r="J5" s="88" t="s">
        <v>37</v>
      </c>
      <c r="K5" s="88" t="s">
        <v>391</v>
      </c>
      <c r="L5" s="47">
        <v>44145</v>
      </c>
      <c r="M5" s="47">
        <v>44148</v>
      </c>
      <c r="N5" s="90">
        <f>3030.33/2</f>
        <v>1515.165</v>
      </c>
      <c r="O5" s="90">
        <f>3030.33/2</f>
        <v>1515.165</v>
      </c>
      <c r="P5" s="90">
        <f t="shared" ref="P5" si="0">SUM(N5:O5)</f>
        <v>3030.33</v>
      </c>
      <c r="Q5" s="88">
        <v>4</v>
      </c>
      <c r="R5" s="90">
        <v>120</v>
      </c>
      <c r="S5" s="88"/>
      <c r="T5" s="90"/>
      <c r="U5" s="90">
        <f t="shared" ref="U5" si="1">(Q5*R5)+(S5*T5)</f>
        <v>480</v>
      </c>
      <c r="V5" s="90">
        <f>U5+P5</f>
        <v>3510.33</v>
      </c>
      <c r="W5" s="90">
        <f>V5</f>
        <v>3510.33</v>
      </c>
      <c r="X5" s="88"/>
    </row>
    <row r="11" spans="1:24">
      <c r="Q11" s="57"/>
    </row>
    <row r="12" spans="1:24">
      <c r="Q12" s="57"/>
    </row>
    <row r="13" spans="1:24">
      <c r="Q13" s="57"/>
    </row>
    <row r="14" spans="1:24">
      <c r="Q14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86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11" spans="1:24">
      <c r="Q11" s="57"/>
    </row>
    <row r="12" spans="1:24">
      <c r="Q12" s="57"/>
    </row>
    <row r="13" spans="1:24">
      <c r="Q13" s="57"/>
    </row>
    <row r="14" spans="1:24">
      <c r="Q14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86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11" spans="1:24">
      <c r="Q11" s="57"/>
    </row>
    <row r="12" spans="1:24">
      <c r="Q12" s="57"/>
    </row>
    <row r="13" spans="1:24">
      <c r="Q13" s="57"/>
    </row>
    <row r="14" spans="1:24">
      <c r="Q14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99"/>
      <c r="O4" s="99"/>
      <c r="P4" s="99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99"/>
      <c r="W4" s="101"/>
      <c r="X4" s="153"/>
    </row>
    <row r="5" spans="1:24" ht="15">
      <c r="A5" s="97"/>
      <c r="B5" s="97"/>
      <c r="C5" s="97"/>
      <c r="D5" s="86"/>
      <c r="E5" s="20"/>
      <c r="F5" s="88"/>
      <c r="G5" s="88"/>
      <c r="H5" s="88"/>
      <c r="I5" s="88"/>
      <c r="J5" s="88"/>
      <c r="K5" s="88"/>
      <c r="L5" s="47"/>
      <c r="M5" s="47"/>
      <c r="N5" s="90"/>
      <c r="O5" s="90"/>
      <c r="P5" s="90"/>
      <c r="Q5" s="88"/>
      <c r="R5" s="90"/>
      <c r="S5" s="88"/>
      <c r="T5" s="90"/>
      <c r="U5" s="90"/>
      <c r="V5" s="90"/>
      <c r="W5" s="90"/>
      <c r="X5" s="88"/>
    </row>
    <row r="11" spans="1:24">
      <c r="Q11" s="57"/>
    </row>
    <row r="12" spans="1:24">
      <c r="Q12" s="57"/>
    </row>
    <row r="13" spans="1:24">
      <c r="Q13" s="57"/>
    </row>
    <row r="14" spans="1:24">
      <c r="Q14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>
      <c r="A5" s="39"/>
      <c r="B5" s="39"/>
      <c r="C5" s="39"/>
      <c r="D5" s="86"/>
      <c r="E5" s="87"/>
      <c r="F5" s="88"/>
      <c r="G5" s="88"/>
      <c r="H5" s="88"/>
      <c r="I5" s="39"/>
      <c r="J5" s="88"/>
      <c r="K5" s="39"/>
      <c r="L5" s="47"/>
      <c r="M5" s="47"/>
      <c r="N5" s="90"/>
      <c r="O5" s="90"/>
      <c r="P5" s="90">
        <f>SUM(N5:O5)</f>
        <v>0</v>
      </c>
      <c r="Q5" s="88">
        <v>0</v>
      </c>
      <c r="R5" s="90">
        <v>0</v>
      </c>
      <c r="S5" s="88">
        <v>0</v>
      </c>
      <c r="T5" s="90">
        <v>0</v>
      </c>
      <c r="U5" s="90">
        <f>(Q5*R5)+(S5*T5)</f>
        <v>0</v>
      </c>
      <c r="V5" s="90">
        <f>U5+P5</f>
        <v>0</v>
      </c>
      <c r="W5" s="90">
        <f>V5</f>
        <v>0</v>
      </c>
      <c r="X5" s="88"/>
    </row>
    <row r="6" spans="1:24">
      <c r="A6" s="39"/>
      <c r="B6" s="39"/>
      <c r="C6" s="39"/>
      <c r="D6" s="86"/>
      <c r="E6" s="87"/>
      <c r="F6" s="88"/>
      <c r="G6" s="88"/>
      <c r="H6" s="88"/>
      <c r="I6" s="39"/>
      <c r="J6" s="88"/>
      <c r="K6" s="88"/>
      <c r="L6" s="47"/>
      <c r="M6" s="47"/>
      <c r="N6" s="90"/>
      <c r="O6" s="90"/>
      <c r="P6" s="90">
        <f t="shared" ref="P6:P7" si="0">SUM(N6:O6)</f>
        <v>0</v>
      </c>
      <c r="Q6" s="88">
        <v>0</v>
      </c>
      <c r="R6" s="90">
        <v>0</v>
      </c>
      <c r="S6" s="88">
        <v>0</v>
      </c>
      <c r="T6" s="90">
        <v>0</v>
      </c>
      <c r="U6" s="90">
        <f t="shared" ref="U6:U7" si="1">(Q6*R6)+(S6*T6)</f>
        <v>0</v>
      </c>
      <c r="V6" s="90">
        <f t="shared" ref="V6:V7" si="2">U6+P6</f>
        <v>0</v>
      </c>
      <c r="W6" s="90">
        <f t="shared" ref="W6:W7" si="3">V6</f>
        <v>0</v>
      </c>
      <c r="X6" s="88"/>
    </row>
    <row r="7" spans="1:24">
      <c r="A7" s="39"/>
      <c r="B7" s="39"/>
      <c r="C7" s="39"/>
      <c r="D7" s="86"/>
      <c r="E7" s="87"/>
      <c r="F7" s="88"/>
      <c r="G7" s="88"/>
      <c r="H7" s="88"/>
      <c r="I7" s="39"/>
      <c r="J7" s="88"/>
      <c r="K7" s="88"/>
      <c r="L7" s="47"/>
      <c r="M7" s="47"/>
      <c r="N7" s="90"/>
      <c r="O7" s="90"/>
      <c r="P7" s="90">
        <f t="shared" si="0"/>
        <v>0</v>
      </c>
      <c r="Q7" s="88">
        <v>0</v>
      </c>
      <c r="R7" s="90">
        <v>0</v>
      </c>
      <c r="S7" s="88">
        <v>0</v>
      </c>
      <c r="T7" s="90">
        <v>0</v>
      </c>
      <c r="U7" s="90">
        <f t="shared" si="1"/>
        <v>0</v>
      </c>
      <c r="V7" s="90">
        <f t="shared" si="2"/>
        <v>0</v>
      </c>
      <c r="W7" s="90">
        <f t="shared" si="3"/>
        <v>0</v>
      </c>
      <c r="X7" s="88" t="s">
        <v>77</v>
      </c>
    </row>
    <row r="13" spans="1:24">
      <c r="Q13" s="57"/>
    </row>
    <row r="14" spans="1:24">
      <c r="Q14" s="57"/>
    </row>
    <row r="15" spans="1:24">
      <c r="Q15" s="57"/>
    </row>
    <row r="16" spans="1:24">
      <c r="Q16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234</v>
      </c>
      <c r="C5" s="97" t="s">
        <v>576</v>
      </c>
      <c r="D5" s="97">
        <v>285</v>
      </c>
      <c r="E5" s="97" t="s">
        <v>577</v>
      </c>
      <c r="F5" s="97" t="s">
        <v>578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47">
        <v>44304</v>
      </c>
      <c r="M5" s="47">
        <v>44309</v>
      </c>
      <c r="N5" s="90">
        <f>1104.13/2</f>
        <v>552.06500000000005</v>
      </c>
      <c r="O5" s="90">
        <f>1104.13/2</f>
        <v>552.06500000000005</v>
      </c>
      <c r="P5" s="90">
        <f>SUM(N5:O5)</f>
        <v>1104.1300000000001</v>
      </c>
      <c r="Q5" s="88">
        <v>6</v>
      </c>
      <c r="R5" s="90">
        <v>120</v>
      </c>
      <c r="S5" s="88">
        <v>0</v>
      </c>
      <c r="T5" s="90">
        <v>0</v>
      </c>
      <c r="U5" s="90">
        <f>(Q5*R5)+(S5*T5)</f>
        <v>720</v>
      </c>
      <c r="V5" s="90">
        <f>U5+P5</f>
        <v>1824.13</v>
      </c>
      <c r="W5" s="90">
        <f>V5</f>
        <v>1824.13</v>
      </c>
      <c r="X5" s="88"/>
    </row>
    <row r="6" spans="1:24" ht="15">
      <c r="A6" s="97" t="s">
        <v>253</v>
      </c>
      <c r="B6" s="97" t="s">
        <v>234</v>
      </c>
      <c r="C6" s="97" t="s">
        <v>579</v>
      </c>
      <c r="D6" s="97">
        <v>218</v>
      </c>
      <c r="E6" s="97" t="s">
        <v>580</v>
      </c>
      <c r="F6" s="97" t="s">
        <v>578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47">
        <v>44304</v>
      </c>
      <c r="M6" s="47">
        <v>44309</v>
      </c>
      <c r="N6" s="90">
        <f>1104.13/2</f>
        <v>552.06500000000005</v>
      </c>
      <c r="O6" s="90">
        <f>1104.13/2</f>
        <v>552.06500000000005</v>
      </c>
      <c r="P6" s="90">
        <f t="shared" ref="P6:P7" si="0">SUM(N6:O6)</f>
        <v>1104.1300000000001</v>
      </c>
      <c r="Q6" s="88">
        <v>6</v>
      </c>
      <c r="R6" s="90">
        <v>120</v>
      </c>
      <c r="S6" s="88">
        <v>0</v>
      </c>
      <c r="T6" s="90">
        <v>0</v>
      </c>
      <c r="U6" s="90">
        <f t="shared" ref="U6:U7" si="1">(Q6*R6)+(S6*T6)</f>
        <v>720</v>
      </c>
      <c r="V6" s="90">
        <f t="shared" ref="V6:V7" si="2">U6+P6</f>
        <v>1824.13</v>
      </c>
      <c r="W6" s="90">
        <f t="shared" ref="W6:W7" si="3">V6</f>
        <v>1824.13</v>
      </c>
      <c r="X6" s="88"/>
    </row>
    <row r="7" spans="1:24" ht="15">
      <c r="A7" s="180" t="s">
        <v>253</v>
      </c>
      <c r="B7" s="180" t="s">
        <v>259</v>
      </c>
      <c r="C7" s="180" t="s">
        <v>185</v>
      </c>
      <c r="D7" s="180">
        <v>119</v>
      </c>
      <c r="E7" s="157" t="s">
        <v>581</v>
      </c>
      <c r="F7" s="180" t="s">
        <v>582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583</v>
      </c>
      <c r="L7" s="47">
        <v>44312</v>
      </c>
      <c r="M7" s="47">
        <v>44313</v>
      </c>
      <c r="N7" s="160">
        <v>0</v>
      </c>
      <c r="O7" s="160">
        <v>0</v>
      </c>
      <c r="P7" s="158">
        <f t="shared" si="0"/>
        <v>0</v>
      </c>
      <c r="Q7" s="161">
        <v>5</v>
      </c>
      <c r="R7" s="163">
        <v>120</v>
      </c>
      <c r="S7" s="161">
        <v>0</v>
      </c>
      <c r="T7" s="163">
        <v>0</v>
      </c>
      <c r="U7" s="158">
        <f t="shared" si="1"/>
        <v>600</v>
      </c>
      <c r="V7" s="158">
        <f t="shared" si="2"/>
        <v>600</v>
      </c>
      <c r="W7" s="158">
        <f t="shared" si="3"/>
        <v>600</v>
      </c>
      <c r="X7" s="161"/>
    </row>
    <row r="8" spans="1:24" ht="15">
      <c r="A8" s="181"/>
      <c r="B8" s="181"/>
      <c r="C8" s="181"/>
      <c r="D8" s="181"/>
      <c r="E8" s="157"/>
      <c r="F8" s="181"/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47">
        <v>44313</v>
      </c>
      <c r="M8" s="47">
        <v>44316</v>
      </c>
      <c r="N8" s="160"/>
      <c r="O8" s="160"/>
      <c r="P8" s="159"/>
      <c r="Q8" s="162"/>
      <c r="R8" s="164"/>
      <c r="S8" s="162"/>
      <c r="T8" s="164"/>
      <c r="U8" s="159"/>
      <c r="V8" s="159"/>
      <c r="W8" s="159"/>
      <c r="X8" s="162"/>
    </row>
    <row r="9" spans="1:24" ht="15">
      <c r="A9" s="180" t="s">
        <v>253</v>
      </c>
      <c r="B9" s="180" t="s">
        <v>212</v>
      </c>
      <c r="C9" s="180" t="s">
        <v>270</v>
      </c>
      <c r="D9" s="180">
        <v>158</v>
      </c>
      <c r="E9" s="157" t="s">
        <v>584</v>
      </c>
      <c r="F9" s="180" t="s">
        <v>585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583</v>
      </c>
      <c r="L9" s="47">
        <v>44312</v>
      </c>
      <c r="M9" s="47">
        <v>44313</v>
      </c>
      <c r="N9" s="160">
        <v>0</v>
      </c>
      <c r="O9" s="160">
        <v>0</v>
      </c>
      <c r="P9" s="158">
        <f t="shared" ref="P9" si="4">SUM(N9:O9)</f>
        <v>0</v>
      </c>
      <c r="Q9" s="161">
        <v>5</v>
      </c>
      <c r="R9" s="163">
        <v>120</v>
      </c>
      <c r="S9" s="161">
        <v>0</v>
      </c>
      <c r="T9" s="163">
        <v>0</v>
      </c>
      <c r="U9" s="158">
        <f t="shared" ref="U9" si="5">(Q9*R9)+(S9*T9)</f>
        <v>600</v>
      </c>
      <c r="V9" s="158">
        <f t="shared" ref="V9" si="6">U9+P9</f>
        <v>600</v>
      </c>
      <c r="W9" s="158">
        <f t="shared" ref="W9" si="7">V9</f>
        <v>600</v>
      </c>
      <c r="X9" s="161"/>
    </row>
    <row r="10" spans="1:24" ht="15">
      <c r="A10" s="181"/>
      <c r="B10" s="181"/>
      <c r="C10" s="181"/>
      <c r="D10" s="181"/>
      <c r="E10" s="157"/>
      <c r="F10" s="181"/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47">
        <v>44313</v>
      </c>
      <c r="M10" s="47">
        <v>44316</v>
      </c>
      <c r="N10" s="160"/>
      <c r="O10" s="160"/>
      <c r="P10" s="159"/>
      <c r="Q10" s="162"/>
      <c r="R10" s="164"/>
      <c r="S10" s="162"/>
      <c r="T10" s="164"/>
      <c r="U10" s="159"/>
      <c r="V10" s="159"/>
      <c r="W10" s="159"/>
      <c r="X10" s="162"/>
    </row>
    <row r="12" spans="1:24">
      <c r="Q12" s="57"/>
    </row>
    <row r="13" spans="1:24">
      <c r="Q13" s="57"/>
    </row>
    <row r="14" spans="1:24">
      <c r="Q14" s="57"/>
    </row>
    <row r="15" spans="1:24">
      <c r="Q15" s="57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228</v>
      </c>
      <c r="B5" s="97" t="s">
        <v>229</v>
      </c>
      <c r="C5" s="97" t="s">
        <v>586</v>
      </c>
      <c r="D5" s="97">
        <v>357</v>
      </c>
      <c r="E5" s="97" t="s">
        <v>587</v>
      </c>
      <c r="F5" s="97" t="s">
        <v>588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47">
        <v>44342</v>
      </c>
      <c r="M5" s="47">
        <v>44344</v>
      </c>
      <c r="N5" s="90">
        <f>1326.66/2</f>
        <v>663.33</v>
      </c>
      <c r="O5" s="90">
        <f>1326.66/2</f>
        <v>663.33</v>
      </c>
      <c r="P5" s="90">
        <f>SUM(N5:O5)</f>
        <v>1326.66</v>
      </c>
      <c r="Q5" s="88">
        <v>3</v>
      </c>
      <c r="R5" s="90">
        <v>120</v>
      </c>
      <c r="S5" s="88">
        <v>0</v>
      </c>
      <c r="T5" s="90">
        <v>0</v>
      </c>
      <c r="U5" s="90">
        <f>(Q5*R5)+(S5*T5)</f>
        <v>360</v>
      </c>
      <c r="V5" s="90">
        <f>U5+P5</f>
        <v>1686.66</v>
      </c>
      <c r="W5" s="90">
        <f>V5</f>
        <v>1686.66</v>
      </c>
      <c r="X5" s="88"/>
    </row>
    <row r="6" spans="1:24" ht="15">
      <c r="A6" s="97" t="s">
        <v>228</v>
      </c>
      <c r="B6" s="97" t="s">
        <v>229</v>
      </c>
      <c r="C6" s="97" t="s">
        <v>71</v>
      </c>
      <c r="D6" s="97">
        <v>303</v>
      </c>
      <c r="E6" s="97" t="s">
        <v>589</v>
      </c>
      <c r="F6" s="97" t="s">
        <v>588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47">
        <v>44342</v>
      </c>
      <c r="M6" s="47">
        <v>44344</v>
      </c>
      <c r="N6" s="90">
        <f t="shared" ref="N6:O7" si="0">1326.66/2</f>
        <v>663.33</v>
      </c>
      <c r="O6" s="90">
        <f t="shared" si="0"/>
        <v>663.33</v>
      </c>
      <c r="P6" s="90">
        <f t="shared" ref="P6" si="1">SUM(N6:O6)</f>
        <v>1326.66</v>
      </c>
      <c r="Q6" s="88">
        <v>3</v>
      </c>
      <c r="R6" s="90">
        <v>120</v>
      </c>
      <c r="S6" s="88">
        <v>0</v>
      </c>
      <c r="T6" s="90">
        <v>0</v>
      </c>
      <c r="U6" s="90">
        <f t="shared" ref="U6" si="2">(Q6*R6)+(S6*T6)</f>
        <v>360</v>
      </c>
      <c r="V6" s="90">
        <f t="shared" ref="V6" si="3">U6+P6</f>
        <v>1686.66</v>
      </c>
      <c r="W6" s="90">
        <f t="shared" ref="W6" si="4">V6</f>
        <v>1686.66</v>
      </c>
      <c r="X6" s="88"/>
    </row>
    <row r="7" spans="1:24" ht="15">
      <c r="A7" s="97" t="s">
        <v>228</v>
      </c>
      <c r="B7" s="97" t="s">
        <v>229</v>
      </c>
      <c r="C7" s="97" t="s">
        <v>590</v>
      </c>
      <c r="D7" s="97">
        <v>72</v>
      </c>
      <c r="E7" s="97" t="s">
        <v>591</v>
      </c>
      <c r="F7" s="97" t="s">
        <v>588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47">
        <v>44342</v>
      </c>
      <c r="M7" s="47">
        <v>44344</v>
      </c>
      <c r="N7" s="90">
        <f t="shared" si="0"/>
        <v>663.33</v>
      </c>
      <c r="O7" s="90">
        <f t="shared" si="0"/>
        <v>663.33</v>
      </c>
      <c r="P7" s="90">
        <f t="shared" ref="P7" si="5">SUM(N7:O7)</f>
        <v>1326.66</v>
      </c>
      <c r="Q7" s="88">
        <v>3</v>
      </c>
      <c r="R7" s="90">
        <v>120</v>
      </c>
      <c r="S7" s="88">
        <v>0</v>
      </c>
      <c r="T7" s="90">
        <v>0</v>
      </c>
      <c r="U7" s="90">
        <f t="shared" ref="U7" si="6">(Q7*R7)+(S7*T7)</f>
        <v>360</v>
      </c>
      <c r="V7" s="90">
        <f t="shared" ref="V7" si="7">U7+P7</f>
        <v>1686.66</v>
      </c>
      <c r="W7" s="90">
        <f t="shared" ref="W7" si="8">V7</f>
        <v>1686.66</v>
      </c>
      <c r="X7" s="88"/>
    </row>
    <row r="8" spans="1:24" ht="15">
      <c r="A8" s="97" t="s">
        <v>233</v>
      </c>
      <c r="B8" s="97" t="s">
        <v>259</v>
      </c>
      <c r="C8" s="97" t="s">
        <v>320</v>
      </c>
      <c r="D8" s="97">
        <v>346</v>
      </c>
      <c r="E8" s="97" t="s">
        <v>50</v>
      </c>
      <c r="F8" s="97" t="s">
        <v>592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47">
        <v>44343</v>
      </c>
      <c r="M8" s="47">
        <v>44344</v>
      </c>
      <c r="N8" s="90">
        <f>2134.26/2</f>
        <v>1067.1300000000001</v>
      </c>
      <c r="O8" s="90">
        <f>2134.26/2</f>
        <v>1067.1300000000001</v>
      </c>
      <c r="P8" s="90">
        <f t="shared" ref="P8" si="9">SUM(N8:O8)</f>
        <v>2134.2600000000002</v>
      </c>
      <c r="Q8" s="88">
        <v>2</v>
      </c>
      <c r="R8" s="90">
        <v>120</v>
      </c>
      <c r="S8" s="88">
        <v>0</v>
      </c>
      <c r="T8" s="90">
        <v>0</v>
      </c>
      <c r="U8" s="90">
        <f t="shared" ref="U8" si="10">(Q8*R8)+(S8*T8)</f>
        <v>240</v>
      </c>
      <c r="V8" s="90">
        <f t="shared" ref="V8" si="11">U8+P8</f>
        <v>2374.2600000000002</v>
      </c>
      <c r="W8" s="90">
        <f t="shared" ref="W8" si="12">V8</f>
        <v>2374.2600000000002</v>
      </c>
      <c r="X8" s="88"/>
    </row>
    <row r="12" spans="1:24">
      <c r="Q12" s="57"/>
    </row>
    <row r="13" spans="1:24">
      <c r="Q13" s="57"/>
    </row>
    <row r="14" spans="1:24">
      <c r="Q14" s="57"/>
    </row>
    <row r="15" spans="1:24">
      <c r="Q15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233</v>
      </c>
      <c r="B5" s="97" t="s">
        <v>212</v>
      </c>
      <c r="C5" s="97" t="s">
        <v>270</v>
      </c>
      <c r="D5" s="97">
        <v>158</v>
      </c>
      <c r="E5" s="97" t="s">
        <v>593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47">
        <v>44356</v>
      </c>
      <c r="M5" s="47">
        <v>44357</v>
      </c>
      <c r="N5" s="90">
        <f>1279.28/2</f>
        <v>639.64</v>
      </c>
      <c r="O5" s="90">
        <f>1101.62/2</f>
        <v>550.80999999999995</v>
      </c>
      <c r="P5" s="90">
        <f t="shared" ref="P5" si="0">SUM(N5:O5)</f>
        <v>1190.4499999999998</v>
      </c>
      <c r="Q5" s="88">
        <v>2</v>
      </c>
      <c r="R5" s="90">
        <v>120</v>
      </c>
      <c r="S5" s="88">
        <v>0</v>
      </c>
      <c r="T5" s="90">
        <v>0</v>
      </c>
      <c r="U5" s="90">
        <f t="shared" ref="U5:U7" si="1">(Q5*R5)+(S5*T5)</f>
        <v>240</v>
      </c>
      <c r="V5" s="90">
        <f t="shared" ref="V5:V7" si="2">U5+P5</f>
        <v>1430.4499999999998</v>
      </c>
      <c r="W5" s="90">
        <f t="shared" ref="W5:W7" si="3">V5</f>
        <v>1430.4499999999998</v>
      </c>
      <c r="X5" s="88"/>
    </row>
    <row r="6" spans="1:24" ht="15">
      <c r="A6" s="97" t="s">
        <v>233</v>
      </c>
      <c r="B6" s="97" t="s">
        <v>212</v>
      </c>
      <c r="C6" s="97" t="s">
        <v>387</v>
      </c>
      <c r="D6" s="97">
        <v>347</v>
      </c>
      <c r="E6" s="97" t="s">
        <v>34</v>
      </c>
      <c r="F6" s="97" t="s">
        <v>594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47">
        <v>44363</v>
      </c>
      <c r="M6" s="47">
        <v>44364</v>
      </c>
      <c r="N6" s="90">
        <f>1101.62/2</f>
        <v>550.80999999999995</v>
      </c>
      <c r="O6" s="90">
        <f>1101.62/2</f>
        <v>550.80999999999995</v>
      </c>
      <c r="P6" s="90">
        <f t="shared" ref="P6:P7" si="4">SUM(N6:O6)</f>
        <v>1101.6199999999999</v>
      </c>
      <c r="Q6" s="88">
        <v>2</v>
      </c>
      <c r="R6" s="90">
        <v>120</v>
      </c>
      <c r="S6" s="88">
        <v>0</v>
      </c>
      <c r="T6" s="90">
        <v>0</v>
      </c>
      <c r="U6" s="90">
        <f t="shared" si="1"/>
        <v>240</v>
      </c>
      <c r="V6" s="90">
        <f t="shared" si="2"/>
        <v>1341.62</v>
      </c>
      <c r="W6" s="90">
        <f t="shared" si="3"/>
        <v>1341.62</v>
      </c>
      <c r="X6" s="88"/>
    </row>
    <row r="7" spans="1:24" ht="15">
      <c r="A7" s="97" t="s">
        <v>233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47">
        <v>44377</v>
      </c>
      <c r="M7" s="47">
        <v>44378</v>
      </c>
      <c r="N7" s="90">
        <f>1443.73/2</f>
        <v>721.86500000000001</v>
      </c>
      <c r="O7" s="90">
        <f>1443.73/2</f>
        <v>721.86500000000001</v>
      </c>
      <c r="P7" s="90">
        <f t="shared" si="4"/>
        <v>1443.73</v>
      </c>
      <c r="Q7" s="88">
        <v>2</v>
      </c>
      <c r="R7" s="90">
        <v>120</v>
      </c>
      <c r="S7" s="88">
        <v>0</v>
      </c>
      <c r="T7" s="90">
        <v>0</v>
      </c>
      <c r="U7" s="90">
        <f t="shared" si="1"/>
        <v>240</v>
      </c>
      <c r="V7" s="90">
        <f t="shared" si="2"/>
        <v>1683.73</v>
      </c>
      <c r="W7" s="90">
        <f t="shared" si="3"/>
        <v>1683.73</v>
      </c>
      <c r="X7" s="88"/>
    </row>
    <row r="11" spans="1:24">
      <c r="Q11" s="57"/>
    </row>
    <row r="12" spans="1:24">
      <c r="Q12" s="57"/>
    </row>
    <row r="13" spans="1:24">
      <c r="Q13" s="57"/>
    </row>
    <row r="14" spans="1:24">
      <c r="Q14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595</v>
      </c>
      <c r="B5" s="97" t="s">
        <v>595</v>
      </c>
      <c r="C5" s="97" t="s">
        <v>412</v>
      </c>
      <c r="D5" s="29"/>
      <c r="E5" s="20" t="s">
        <v>562</v>
      </c>
      <c r="F5" s="97" t="s">
        <v>596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47">
        <v>44391</v>
      </c>
      <c r="M5" s="47">
        <v>44395</v>
      </c>
      <c r="N5" s="90">
        <f>2524.67/2</f>
        <v>1262.335</v>
      </c>
      <c r="O5" s="90">
        <f>2524.67/2</f>
        <v>1262.335</v>
      </c>
      <c r="P5" s="90">
        <f t="shared" ref="P5:P7" si="0">SUM(N5:O5)</f>
        <v>2524.67</v>
      </c>
      <c r="Q5" s="88">
        <v>0</v>
      </c>
      <c r="R5" s="90">
        <v>0</v>
      </c>
      <c r="S5" s="88">
        <v>0</v>
      </c>
      <c r="T5" s="90">
        <v>0</v>
      </c>
      <c r="U5" s="90">
        <f t="shared" ref="U5:U7" si="1">(Q5*R5)+(S5*T5)</f>
        <v>0</v>
      </c>
      <c r="V5" s="90">
        <f t="shared" ref="V5:V7" si="2">U5+P5</f>
        <v>2524.67</v>
      </c>
      <c r="W5" s="90">
        <f t="shared" ref="W5:W7" si="3">V5</f>
        <v>2524.67</v>
      </c>
      <c r="X5" s="88"/>
    </row>
    <row r="6" spans="1:24" ht="15">
      <c r="A6" s="97" t="s">
        <v>253</v>
      </c>
      <c r="B6" s="97" t="s">
        <v>253</v>
      </c>
      <c r="C6" s="97" t="s">
        <v>486</v>
      </c>
      <c r="D6" s="54"/>
      <c r="E6" s="55" t="s">
        <v>50</v>
      </c>
      <c r="F6" s="97" t="s">
        <v>597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47">
        <v>44391</v>
      </c>
      <c r="M6" s="47">
        <v>44392</v>
      </c>
      <c r="N6" s="90">
        <f>902.91/2</f>
        <v>451.45499999999998</v>
      </c>
      <c r="O6" s="90">
        <f>902.91/2</f>
        <v>451.45499999999998</v>
      </c>
      <c r="P6" s="90">
        <f t="shared" si="0"/>
        <v>902.91</v>
      </c>
      <c r="Q6" s="88">
        <v>0</v>
      </c>
      <c r="R6" s="90">
        <v>0</v>
      </c>
      <c r="S6" s="88">
        <v>0</v>
      </c>
      <c r="T6" s="90">
        <v>0</v>
      </c>
      <c r="U6" s="90">
        <f t="shared" si="1"/>
        <v>0</v>
      </c>
      <c r="V6" s="90">
        <f t="shared" si="2"/>
        <v>902.91</v>
      </c>
      <c r="W6" s="90">
        <f t="shared" si="3"/>
        <v>902.91</v>
      </c>
      <c r="X6" s="88"/>
    </row>
    <row r="7" spans="1:24" ht="15">
      <c r="A7" s="97" t="s">
        <v>253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597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47">
        <v>44391</v>
      </c>
      <c r="M7" s="47">
        <v>44392</v>
      </c>
      <c r="N7" s="90">
        <f>902.91/2</f>
        <v>451.45499999999998</v>
      </c>
      <c r="O7" s="90">
        <f>902.91/2</f>
        <v>451.45499999999998</v>
      </c>
      <c r="P7" s="90">
        <f t="shared" si="0"/>
        <v>902.91</v>
      </c>
      <c r="Q7" s="88">
        <v>2</v>
      </c>
      <c r="R7" s="90">
        <v>120</v>
      </c>
      <c r="S7" s="88">
        <v>0</v>
      </c>
      <c r="T7" s="90">
        <v>0</v>
      </c>
      <c r="U7" s="90">
        <f t="shared" si="1"/>
        <v>240</v>
      </c>
      <c r="V7" s="90">
        <f t="shared" si="2"/>
        <v>1142.9099999999999</v>
      </c>
      <c r="W7" s="90">
        <f t="shared" si="3"/>
        <v>1142.9099999999999</v>
      </c>
      <c r="X7" s="88"/>
    </row>
    <row r="8" spans="1:24" ht="15">
      <c r="A8" s="97" t="s">
        <v>253</v>
      </c>
      <c r="B8" s="97" t="s">
        <v>212</v>
      </c>
      <c r="C8" s="97" t="s">
        <v>270</v>
      </c>
      <c r="D8" s="97">
        <v>158</v>
      </c>
      <c r="E8" s="97" t="s">
        <v>599</v>
      </c>
      <c r="F8" s="97" t="s">
        <v>597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47">
        <v>44398</v>
      </c>
      <c r="M8" s="47">
        <v>44399</v>
      </c>
      <c r="N8" s="90">
        <f>1854.27/2</f>
        <v>927.13499999999999</v>
      </c>
      <c r="O8" s="90">
        <f>1854.27/2</f>
        <v>927.13499999999999</v>
      </c>
      <c r="P8" s="90">
        <f t="shared" ref="P8" si="4">SUM(N8:O8)</f>
        <v>1854.27</v>
      </c>
      <c r="Q8" s="88">
        <v>2</v>
      </c>
      <c r="R8" s="90">
        <v>120</v>
      </c>
      <c r="S8" s="88">
        <v>0</v>
      </c>
      <c r="T8" s="90">
        <v>0</v>
      </c>
      <c r="U8" s="90">
        <f t="shared" ref="U8" si="5">(Q8*R8)+(S8*T8)</f>
        <v>240</v>
      </c>
      <c r="V8" s="90">
        <f t="shared" ref="V8" si="6">U8+P8</f>
        <v>2094.27</v>
      </c>
      <c r="W8" s="90">
        <f t="shared" ref="W8" si="7">V8</f>
        <v>2094.27</v>
      </c>
      <c r="X8" s="88"/>
    </row>
    <row r="10" spans="1:24">
      <c r="Q10" s="57"/>
    </row>
    <row r="11" spans="1:24">
      <c r="Q11" s="57"/>
    </row>
    <row r="12" spans="1:24">
      <c r="Q12" s="57"/>
    </row>
    <row r="13" spans="1:24">
      <c r="Q13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212</v>
      </c>
      <c r="C5" s="97" t="s">
        <v>270</v>
      </c>
      <c r="D5" s="29" t="s">
        <v>168</v>
      </c>
      <c r="E5" s="97" t="s">
        <v>599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391</v>
      </c>
      <c r="L5" s="47">
        <v>44412</v>
      </c>
      <c r="M5" s="47">
        <v>44413</v>
      </c>
      <c r="N5" s="90">
        <f>833.12/2</f>
        <v>416.56</v>
      </c>
      <c r="O5" s="90">
        <f>833.12/2</f>
        <v>416.56</v>
      </c>
      <c r="P5" s="90">
        <f t="shared" ref="P5:P7" si="0">SUM(N5:O5)</f>
        <v>833.12</v>
      </c>
      <c r="Q5" s="88">
        <v>2</v>
      </c>
      <c r="R5" s="90">
        <v>120</v>
      </c>
      <c r="S5" s="88">
        <v>0</v>
      </c>
      <c r="T5" s="90">
        <v>0</v>
      </c>
      <c r="U5" s="90">
        <f t="shared" ref="U5:U8" si="1">(Q5*R5)+(S5*T5)</f>
        <v>240</v>
      </c>
      <c r="V5" s="90">
        <f t="shared" ref="V5:V8" si="2">U5+P5</f>
        <v>1073.1199999999999</v>
      </c>
      <c r="W5" s="90">
        <f t="shared" ref="W5:W8" si="3">V5</f>
        <v>1073.1199999999999</v>
      </c>
      <c r="X5" s="88"/>
    </row>
    <row r="6" spans="1:24" ht="15">
      <c r="A6" s="97" t="s">
        <v>253</v>
      </c>
      <c r="B6" s="97" t="s">
        <v>212</v>
      </c>
      <c r="C6" s="97" t="s">
        <v>387</v>
      </c>
      <c r="D6" s="54" t="s">
        <v>388</v>
      </c>
      <c r="E6" s="97" t="s">
        <v>34</v>
      </c>
      <c r="F6" s="97" t="s">
        <v>600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47">
        <v>44419</v>
      </c>
      <c r="M6" s="47">
        <v>44420</v>
      </c>
      <c r="N6" s="90">
        <f>1513.24/2</f>
        <v>756.62</v>
      </c>
      <c r="O6" s="90">
        <f>1513.24/2</f>
        <v>756.62</v>
      </c>
      <c r="P6" s="90">
        <f t="shared" si="0"/>
        <v>1513.24</v>
      </c>
      <c r="Q6" s="88">
        <v>2</v>
      </c>
      <c r="R6" s="90">
        <v>120</v>
      </c>
      <c r="S6" s="88">
        <v>0</v>
      </c>
      <c r="T6" s="90">
        <v>0</v>
      </c>
      <c r="U6" s="90">
        <f t="shared" si="1"/>
        <v>240</v>
      </c>
      <c r="V6" s="90">
        <f t="shared" si="2"/>
        <v>1753.24</v>
      </c>
      <c r="W6" s="90">
        <f t="shared" si="3"/>
        <v>1753.24</v>
      </c>
      <c r="X6" s="88"/>
    </row>
    <row r="7" spans="1:24" ht="15">
      <c r="A7" s="97" t="s">
        <v>253</v>
      </c>
      <c r="B7" s="97" t="s">
        <v>322</v>
      </c>
      <c r="C7" s="97" t="s">
        <v>457</v>
      </c>
      <c r="D7" s="54">
        <v>144</v>
      </c>
      <c r="E7" s="97" t="s">
        <v>114</v>
      </c>
      <c r="F7" s="97" t="s">
        <v>601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47">
        <v>44425</v>
      </c>
      <c r="M7" s="47">
        <v>44427</v>
      </c>
      <c r="N7" s="90">
        <f>1690.94/2</f>
        <v>845.47</v>
      </c>
      <c r="O7" s="90">
        <f>902.91/2</f>
        <v>451.45499999999998</v>
      </c>
      <c r="P7" s="90">
        <f t="shared" si="0"/>
        <v>1296.925</v>
      </c>
      <c r="Q7" s="88">
        <v>3</v>
      </c>
      <c r="R7" s="90">
        <v>120</v>
      </c>
      <c r="S7" s="88">
        <v>0</v>
      </c>
      <c r="T7" s="90">
        <v>0</v>
      </c>
      <c r="U7" s="90">
        <f t="shared" si="1"/>
        <v>360</v>
      </c>
      <c r="V7" s="90">
        <f t="shared" si="2"/>
        <v>1656.925</v>
      </c>
      <c r="W7" s="90">
        <f t="shared" si="3"/>
        <v>1656.925</v>
      </c>
      <c r="X7" s="88"/>
    </row>
    <row r="8" spans="1:24" ht="15">
      <c r="A8" s="97" t="s">
        <v>253</v>
      </c>
      <c r="B8" s="97" t="s">
        <v>322</v>
      </c>
      <c r="C8" s="97" t="s">
        <v>350</v>
      </c>
      <c r="D8" s="54" t="s">
        <v>351</v>
      </c>
      <c r="E8" s="97" t="s">
        <v>114</v>
      </c>
      <c r="F8" s="97" t="s">
        <v>602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47">
        <v>46958</v>
      </c>
      <c r="M8" s="47">
        <v>44436</v>
      </c>
      <c r="N8" s="90">
        <f>1093.18/2</f>
        <v>546.59</v>
      </c>
      <c r="O8" s="90">
        <f>1093.18/2</f>
        <v>546.59</v>
      </c>
      <c r="P8" s="90">
        <f t="shared" ref="P8" si="4">SUM(N8:O8)</f>
        <v>1093.18</v>
      </c>
      <c r="Q8" s="88">
        <v>4</v>
      </c>
      <c r="R8" s="90">
        <v>120</v>
      </c>
      <c r="S8" s="88">
        <v>0</v>
      </c>
      <c r="T8" s="90">
        <v>0</v>
      </c>
      <c r="U8" s="90">
        <f t="shared" si="1"/>
        <v>480</v>
      </c>
      <c r="V8" s="90">
        <f t="shared" si="2"/>
        <v>1573.18</v>
      </c>
      <c r="W8" s="90">
        <f t="shared" si="3"/>
        <v>1573.18</v>
      </c>
      <c r="X8" s="88"/>
    </row>
    <row r="9" spans="1:24" ht="15">
      <c r="A9" s="97" t="s">
        <v>253</v>
      </c>
      <c r="B9" s="97" t="s">
        <v>322</v>
      </c>
      <c r="C9" s="97" t="s">
        <v>92</v>
      </c>
      <c r="D9" s="86" t="s">
        <v>93</v>
      </c>
      <c r="E9" s="97" t="s">
        <v>603</v>
      </c>
      <c r="F9" s="97" t="s">
        <v>602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47">
        <v>46958</v>
      </c>
      <c r="M9" s="47">
        <v>44436</v>
      </c>
      <c r="N9" s="90">
        <f>1093.18/2</f>
        <v>546.59</v>
      </c>
      <c r="O9" s="90">
        <f>1093.18/2</f>
        <v>546.59</v>
      </c>
      <c r="P9" s="90">
        <f t="shared" ref="P9" si="5">SUM(N9:O9)</f>
        <v>1093.18</v>
      </c>
      <c r="Q9" s="88">
        <v>4</v>
      </c>
      <c r="R9" s="90">
        <v>120</v>
      </c>
      <c r="S9" s="88">
        <v>0</v>
      </c>
      <c r="T9" s="90">
        <v>0</v>
      </c>
      <c r="U9" s="90">
        <f t="shared" ref="U9" si="6">(Q9*R9)+(S9*T9)</f>
        <v>480</v>
      </c>
      <c r="V9" s="90">
        <f t="shared" ref="V9" si="7">U9+P9</f>
        <v>1573.18</v>
      </c>
      <c r="W9" s="90">
        <f t="shared" ref="W9" si="8">V9</f>
        <v>1573.18</v>
      </c>
      <c r="X9" s="88"/>
    </row>
    <row r="10" spans="1:24">
      <c r="Q10" s="57"/>
    </row>
    <row r="11" spans="1:24">
      <c r="Q11" s="57"/>
    </row>
    <row r="12" spans="1:24">
      <c r="Q12" s="57"/>
    </row>
    <row r="13" spans="1:24">
      <c r="Q13" s="5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3" t="s">
        <v>253</v>
      </c>
      <c r="B5" s="93" t="s">
        <v>253</v>
      </c>
      <c r="C5" s="93" t="s">
        <v>320</v>
      </c>
      <c r="D5" s="93">
        <v>346</v>
      </c>
      <c r="E5" s="93" t="s">
        <v>50</v>
      </c>
      <c r="F5" s="93" t="s">
        <v>604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47">
        <v>44449</v>
      </c>
      <c r="M5" s="47">
        <v>44449</v>
      </c>
      <c r="N5" s="90">
        <f>1907.48/2</f>
        <v>953.74</v>
      </c>
      <c r="O5" s="90">
        <f>1907.48/2</f>
        <v>953.74</v>
      </c>
      <c r="P5" s="90">
        <f t="shared" ref="P5:P8" si="0">SUM(N5:O5)</f>
        <v>1907.48</v>
      </c>
      <c r="Q5" s="88">
        <v>1</v>
      </c>
      <c r="R5" s="90">
        <v>120</v>
      </c>
      <c r="S5" s="88">
        <v>0</v>
      </c>
      <c r="T5" s="90">
        <v>0</v>
      </c>
      <c r="U5" s="90">
        <f t="shared" ref="U5:U8" si="1">(Q5*R5)+(S5*T5)</f>
        <v>120</v>
      </c>
      <c r="V5" s="90">
        <f t="shared" ref="V5:V8" si="2">U5+P5</f>
        <v>2027.48</v>
      </c>
      <c r="W5" s="90">
        <f t="shared" ref="W5:W8" si="3">V5</f>
        <v>2027.48</v>
      </c>
      <c r="X5" s="88"/>
    </row>
    <row r="6" spans="1:24" ht="15">
      <c r="A6" s="93" t="s">
        <v>253</v>
      </c>
      <c r="B6" s="93" t="s">
        <v>212</v>
      </c>
      <c r="C6" s="93" t="s">
        <v>387</v>
      </c>
      <c r="D6" s="93" t="s">
        <v>388</v>
      </c>
      <c r="E6" s="93" t="s">
        <v>34</v>
      </c>
      <c r="F6" s="93" t="s">
        <v>605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47">
        <v>44453</v>
      </c>
      <c r="M6" s="47">
        <v>44454</v>
      </c>
      <c r="N6" s="90">
        <v>716.46</v>
      </c>
      <c r="O6" s="90">
        <v>1471.6200000000001</v>
      </c>
      <c r="P6" s="90">
        <f t="shared" si="0"/>
        <v>2188.08</v>
      </c>
      <c r="Q6" s="88">
        <v>2</v>
      </c>
      <c r="R6" s="90">
        <v>120</v>
      </c>
      <c r="S6" s="88">
        <v>0</v>
      </c>
      <c r="T6" s="90">
        <v>0</v>
      </c>
      <c r="U6" s="90">
        <f t="shared" si="1"/>
        <v>240</v>
      </c>
      <c r="V6" s="90">
        <f t="shared" si="2"/>
        <v>2428.08</v>
      </c>
      <c r="W6" s="90">
        <f t="shared" si="3"/>
        <v>2428.08</v>
      </c>
      <c r="X6" s="88"/>
    </row>
    <row r="7" spans="1:24" ht="15">
      <c r="A7" s="93" t="s">
        <v>253</v>
      </c>
      <c r="B7" s="93" t="s">
        <v>212</v>
      </c>
      <c r="C7" s="93" t="s">
        <v>270</v>
      </c>
      <c r="D7" s="93" t="s">
        <v>168</v>
      </c>
      <c r="E7" s="93" t="s">
        <v>599</v>
      </c>
      <c r="F7" s="93" t="s">
        <v>606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47">
        <v>44460</v>
      </c>
      <c r="M7" s="47">
        <v>44462</v>
      </c>
      <c r="N7" s="90">
        <v>716.46</v>
      </c>
      <c r="O7" s="90">
        <v>1471.6200000000001</v>
      </c>
      <c r="P7" s="90">
        <f t="shared" si="0"/>
        <v>2188.08</v>
      </c>
      <c r="Q7" s="88">
        <v>3</v>
      </c>
      <c r="R7" s="90">
        <v>120</v>
      </c>
      <c r="S7" s="88">
        <v>0</v>
      </c>
      <c r="T7" s="90">
        <v>0</v>
      </c>
      <c r="U7" s="90">
        <f t="shared" si="1"/>
        <v>360</v>
      </c>
      <c r="V7" s="90">
        <f t="shared" si="2"/>
        <v>2548.08</v>
      </c>
      <c r="W7" s="90">
        <f t="shared" si="3"/>
        <v>2548.08</v>
      </c>
      <c r="X7" s="88"/>
    </row>
    <row r="8" spans="1:24" ht="15">
      <c r="A8" s="93" t="s">
        <v>253</v>
      </c>
      <c r="B8" s="93" t="s">
        <v>288</v>
      </c>
      <c r="C8" s="93" t="s">
        <v>237</v>
      </c>
      <c r="D8" s="58">
        <v>82</v>
      </c>
      <c r="E8" s="93" t="s">
        <v>84</v>
      </c>
      <c r="F8" s="93" t="s">
        <v>607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47">
        <v>44439</v>
      </c>
      <c r="M8" s="47">
        <v>44440</v>
      </c>
      <c r="N8" s="90">
        <f>1471.62/2</f>
        <v>735.81</v>
      </c>
      <c r="O8" s="90">
        <f>1471.62/2</f>
        <v>735.81</v>
      </c>
      <c r="P8" s="90">
        <f t="shared" si="0"/>
        <v>1471.62</v>
      </c>
      <c r="Q8" s="88">
        <v>2</v>
      </c>
      <c r="R8" s="90">
        <v>120</v>
      </c>
      <c r="S8" s="88">
        <v>0</v>
      </c>
      <c r="T8" s="90">
        <v>0</v>
      </c>
      <c r="U8" s="90">
        <f t="shared" si="1"/>
        <v>240</v>
      </c>
      <c r="V8" s="90">
        <f t="shared" si="2"/>
        <v>1711.62</v>
      </c>
      <c r="W8" s="90">
        <f t="shared" si="3"/>
        <v>1711.62</v>
      </c>
      <c r="X8" s="88"/>
    </row>
    <row r="9" spans="1:24">
      <c r="Q9" s="57"/>
    </row>
    <row r="10" spans="1:24">
      <c r="Q10" s="57"/>
    </row>
    <row r="11" spans="1:24">
      <c r="Q11" s="57"/>
    </row>
    <row r="12" spans="1:24">
      <c r="Q12" s="5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3" t="s">
        <v>595</v>
      </c>
      <c r="B5" s="93" t="s">
        <v>544</v>
      </c>
      <c r="C5" s="93" t="s">
        <v>545</v>
      </c>
      <c r="D5" s="54">
        <v>353</v>
      </c>
      <c r="E5" s="97" t="s">
        <v>547</v>
      </c>
      <c r="F5" s="97" t="s">
        <v>608</v>
      </c>
      <c r="G5" s="97" t="s">
        <v>36</v>
      </c>
      <c r="H5" s="97" t="s">
        <v>37</v>
      </c>
      <c r="I5" s="97" t="s">
        <v>38</v>
      </c>
      <c r="J5" s="97" t="s">
        <v>598</v>
      </c>
      <c r="K5" s="97" t="s">
        <v>391</v>
      </c>
      <c r="L5" s="47">
        <v>44489</v>
      </c>
      <c r="M5" s="47">
        <v>44491</v>
      </c>
      <c r="N5" s="90">
        <f>666.8/2</f>
        <v>333.4</v>
      </c>
      <c r="O5" s="90">
        <f>666.8/2</f>
        <v>333.4</v>
      </c>
      <c r="P5" s="90">
        <f t="shared" ref="P5:P28" si="0">SUM(N5:O5)</f>
        <v>666.8</v>
      </c>
      <c r="Q5" s="88">
        <v>3</v>
      </c>
      <c r="R5" s="90">
        <v>120</v>
      </c>
      <c r="S5" s="88">
        <v>0</v>
      </c>
      <c r="T5" s="90">
        <v>0</v>
      </c>
      <c r="U5" s="90">
        <f t="shared" ref="U5:U8" si="1">(Q5*R5)+(S5*T5)</f>
        <v>360</v>
      </c>
      <c r="V5" s="90">
        <f t="shared" ref="V5:V8" si="2">U5+P5</f>
        <v>1026.8</v>
      </c>
      <c r="W5" s="90">
        <f t="shared" ref="W5:W8" si="3">V5</f>
        <v>1026.8</v>
      </c>
      <c r="X5" s="88"/>
    </row>
    <row r="6" spans="1:24" ht="15">
      <c r="A6" s="93" t="s">
        <v>595</v>
      </c>
      <c r="B6" s="93" t="s">
        <v>366</v>
      </c>
      <c r="C6" s="93" t="s">
        <v>367</v>
      </c>
      <c r="D6" s="54">
        <v>23</v>
      </c>
      <c r="E6" s="97" t="s">
        <v>609</v>
      </c>
      <c r="F6" s="97" t="s">
        <v>608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47">
        <v>44489</v>
      </c>
      <c r="M6" s="47">
        <v>44491</v>
      </c>
      <c r="N6" s="90">
        <f t="shared" ref="N6:O8" si="4">468.04/2</f>
        <v>234.02</v>
      </c>
      <c r="O6" s="90">
        <f t="shared" si="4"/>
        <v>234.02</v>
      </c>
      <c r="P6" s="90">
        <f t="shared" si="0"/>
        <v>468.04</v>
      </c>
      <c r="Q6" s="88">
        <v>3</v>
      </c>
      <c r="R6" s="90">
        <v>120</v>
      </c>
      <c r="S6" s="88">
        <v>0</v>
      </c>
      <c r="T6" s="90">
        <v>0</v>
      </c>
      <c r="U6" s="90">
        <f t="shared" si="1"/>
        <v>360</v>
      </c>
      <c r="V6" s="90">
        <f t="shared" si="2"/>
        <v>828.04</v>
      </c>
      <c r="W6" s="90">
        <f t="shared" si="3"/>
        <v>828.04</v>
      </c>
      <c r="X6" s="88"/>
    </row>
    <row r="7" spans="1:24" ht="15">
      <c r="A7" s="93" t="s">
        <v>595</v>
      </c>
      <c r="B7" s="93" t="s">
        <v>221</v>
      </c>
      <c r="C7" s="93" t="s">
        <v>54</v>
      </c>
      <c r="D7" s="54">
        <v>56</v>
      </c>
      <c r="E7" s="97" t="s">
        <v>610</v>
      </c>
      <c r="F7" s="97" t="s">
        <v>608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47">
        <v>44489</v>
      </c>
      <c r="M7" s="47">
        <v>44491</v>
      </c>
      <c r="N7" s="90">
        <f t="shared" si="4"/>
        <v>234.02</v>
      </c>
      <c r="O7" s="90">
        <f t="shared" si="4"/>
        <v>234.02</v>
      </c>
      <c r="P7" s="90">
        <f t="shared" si="0"/>
        <v>468.04</v>
      </c>
      <c r="Q7" s="88">
        <v>3</v>
      </c>
      <c r="R7" s="90">
        <v>12</v>
      </c>
      <c r="S7" s="88">
        <v>3</v>
      </c>
      <c r="T7" s="90">
        <v>100</v>
      </c>
      <c r="U7" s="90">
        <f t="shared" si="1"/>
        <v>336</v>
      </c>
      <c r="V7" s="90">
        <f t="shared" si="2"/>
        <v>804.04</v>
      </c>
      <c r="W7" s="90">
        <f t="shared" si="3"/>
        <v>804.04</v>
      </c>
      <c r="X7" s="88"/>
    </row>
    <row r="8" spans="1:24" ht="15">
      <c r="A8" s="93" t="s">
        <v>595</v>
      </c>
      <c r="B8" s="93" t="s">
        <v>221</v>
      </c>
      <c r="C8" s="93" t="s">
        <v>277</v>
      </c>
      <c r="D8" s="54">
        <v>157</v>
      </c>
      <c r="E8" s="97" t="s">
        <v>501</v>
      </c>
      <c r="F8" s="97" t="s">
        <v>608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47">
        <v>44489</v>
      </c>
      <c r="M8" s="47">
        <v>44491</v>
      </c>
      <c r="N8" s="90">
        <f t="shared" si="4"/>
        <v>234.02</v>
      </c>
      <c r="O8" s="90">
        <f t="shared" si="4"/>
        <v>234.02</v>
      </c>
      <c r="P8" s="90">
        <f t="shared" si="0"/>
        <v>468.04</v>
      </c>
      <c r="Q8" s="88">
        <v>3</v>
      </c>
      <c r="R8" s="90">
        <v>120</v>
      </c>
      <c r="S8" s="88">
        <v>0</v>
      </c>
      <c r="T8" s="90">
        <v>0</v>
      </c>
      <c r="U8" s="90">
        <f t="shared" si="1"/>
        <v>360</v>
      </c>
      <c r="V8" s="90">
        <f t="shared" si="2"/>
        <v>828.04</v>
      </c>
      <c r="W8" s="90">
        <f t="shared" si="3"/>
        <v>828.04</v>
      </c>
      <c r="X8" s="88"/>
    </row>
    <row r="9" spans="1:24" ht="15">
      <c r="A9" s="93" t="s">
        <v>595</v>
      </c>
      <c r="B9" s="93" t="s">
        <v>595</v>
      </c>
      <c r="C9" s="93" t="s">
        <v>412</v>
      </c>
      <c r="D9" s="96">
        <v>0</v>
      </c>
      <c r="E9" s="97" t="s">
        <v>562</v>
      </c>
      <c r="F9" s="97" t="s">
        <v>608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47">
        <v>44489</v>
      </c>
      <c r="M9" s="47">
        <v>44492</v>
      </c>
      <c r="N9" s="90">
        <f>1850.95/2</f>
        <v>925.47500000000002</v>
      </c>
      <c r="O9" s="90">
        <f>1850.95/2</f>
        <v>925.47500000000002</v>
      </c>
      <c r="P9" s="90">
        <f t="shared" si="0"/>
        <v>1850.95</v>
      </c>
      <c r="Q9" s="88">
        <v>0</v>
      </c>
      <c r="R9" s="90">
        <v>0</v>
      </c>
      <c r="S9" s="88">
        <v>0</v>
      </c>
      <c r="T9" s="90">
        <v>0</v>
      </c>
      <c r="U9" s="90">
        <f t="shared" ref="U9:U27" si="5">(Q9*R9)+(S9*T9)</f>
        <v>0</v>
      </c>
      <c r="V9" s="90">
        <f t="shared" ref="V9:V27" si="6">U9+P9</f>
        <v>1850.95</v>
      </c>
      <c r="W9" s="90">
        <f t="shared" ref="W9:W27" si="7">V9</f>
        <v>1850.95</v>
      </c>
      <c r="X9" s="39"/>
    </row>
    <row r="10" spans="1:24" ht="15">
      <c r="A10" s="93" t="s">
        <v>371</v>
      </c>
      <c r="B10" s="93" t="s">
        <v>371</v>
      </c>
      <c r="C10" s="93" t="s">
        <v>137</v>
      </c>
      <c r="D10" s="54">
        <v>202</v>
      </c>
      <c r="E10" s="97" t="s">
        <v>78</v>
      </c>
      <c r="F10" s="97" t="s">
        <v>608</v>
      </c>
      <c r="G10" s="97" t="s">
        <v>36</v>
      </c>
      <c r="H10" s="97" t="s">
        <v>37</v>
      </c>
      <c r="I10" s="97" t="s">
        <v>38</v>
      </c>
      <c r="J10" s="97" t="s">
        <v>598</v>
      </c>
      <c r="K10" s="97" t="s">
        <v>391</v>
      </c>
      <c r="L10" s="47">
        <v>44489</v>
      </c>
      <c r="M10" s="47">
        <v>44491</v>
      </c>
      <c r="N10" s="90">
        <f>1529.81/2</f>
        <v>764.90499999999997</v>
      </c>
      <c r="O10" s="90">
        <f>1529.81/2</f>
        <v>764.90499999999997</v>
      </c>
      <c r="P10" s="90">
        <f t="shared" si="0"/>
        <v>1529.81</v>
      </c>
      <c r="Q10" s="88">
        <v>3</v>
      </c>
      <c r="R10" s="90">
        <v>120</v>
      </c>
      <c r="S10" s="88">
        <v>0</v>
      </c>
      <c r="T10" s="90">
        <v>0</v>
      </c>
      <c r="U10" s="90">
        <f t="shared" si="5"/>
        <v>360</v>
      </c>
      <c r="V10" s="90">
        <f t="shared" si="6"/>
        <v>1889.81</v>
      </c>
      <c r="W10" s="90">
        <f t="shared" si="7"/>
        <v>1889.81</v>
      </c>
      <c r="X10" s="39"/>
    </row>
    <row r="11" spans="1:24" ht="15">
      <c r="A11" s="93" t="s">
        <v>253</v>
      </c>
      <c r="B11" s="93" t="s">
        <v>259</v>
      </c>
      <c r="C11" s="93" t="s">
        <v>433</v>
      </c>
      <c r="D11" s="54">
        <v>264</v>
      </c>
      <c r="E11" s="97" t="s">
        <v>611</v>
      </c>
      <c r="F11" s="97" t="s">
        <v>608</v>
      </c>
      <c r="G11" s="97" t="s">
        <v>36</v>
      </c>
      <c r="H11" s="97" t="s">
        <v>37</v>
      </c>
      <c r="I11" s="97" t="s">
        <v>38</v>
      </c>
      <c r="J11" s="97" t="s">
        <v>598</v>
      </c>
      <c r="K11" s="97" t="s">
        <v>391</v>
      </c>
      <c r="L11" s="47">
        <v>44489</v>
      </c>
      <c r="M11" s="47">
        <v>44491</v>
      </c>
      <c r="N11" s="90">
        <v>1690.94</v>
      </c>
      <c r="O11" s="90">
        <v>1471.62</v>
      </c>
      <c r="P11" s="90">
        <f t="shared" si="0"/>
        <v>3162.56</v>
      </c>
      <c r="Q11" s="88">
        <v>3</v>
      </c>
      <c r="R11" s="90">
        <v>120</v>
      </c>
      <c r="S11" s="88">
        <v>0</v>
      </c>
      <c r="T11" s="90">
        <v>0</v>
      </c>
      <c r="U11" s="90">
        <f t="shared" si="5"/>
        <v>360</v>
      </c>
      <c r="V11" s="90">
        <f t="shared" si="6"/>
        <v>3522.56</v>
      </c>
      <c r="W11" s="90">
        <f t="shared" si="7"/>
        <v>3522.56</v>
      </c>
      <c r="X11" s="39"/>
    </row>
    <row r="12" spans="1:24" ht="15">
      <c r="A12" s="93" t="s">
        <v>253</v>
      </c>
      <c r="B12" s="93" t="s">
        <v>253</v>
      </c>
      <c r="C12" s="93" t="s">
        <v>486</v>
      </c>
      <c r="D12" s="96">
        <v>0</v>
      </c>
      <c r="E12" s="97" t="s">
        <v>50</v>
      </c>
      <c r="F12" s="97" t="s">
        <v>608</v>
      </c>
      <c r="G12" s="97" t="s">
        <v>36</v>
      </c>
      <c r="H12" s="97" t="s">
        <v>37</v>
      </c>
      <c r="I12" s="97" t="s">
        <v>38</v>
      </c>
      <c r="J12" s="97" t="s">
        <v>598</v>
      </c>
      <c r="K12" s="97" t="s">
        <v>391</v>
      </c>
      <c r="L12" s="47">
        <v>44489</v>
      </c>
      <c r="M12" s="47">
        <v>44490</v>
      </c>
      <c r="N12" s="90">
        <f>716.46/2</f>
        <v>358.23</v>
      </c>
      <c r="O12" s="90">
        <f>716.46/2</f>
        <v>358.23</v>
      </c>
      <c r="P12" s="90">
        <f t="shared" si="0"/>
        <v>716.46</v>
      </c>
      <c r="Q12" s="88">
        <v>0</v>
      </c>
      <c r="R12" s="90">
        <v>0</v>
      </c>
      <c r="S12" s="88">
        <v>0</v>
      </c>
      <c r="T12" s="90">
        <v>0</v>
      </c>
      <c r="U12" s="90">
        <f t="shared" si="5"/>
        <v>0</v>
      </c>
      <c r="V12" s="90">
        <f t="shared" si="6"/>
        <v>716.46</v>
      </c>
      <c r="W12" s="90">
        <f t="shared" si="7"/>
        <v>716.46</v>
      </c>
      <c r="X12" s="39"/>
    </row>
    <row r="13" spans="1:24" ht="15">
      <c r="A13" s="93" t="s">
        <v>253</v>
      </c>
      <c r="B13" s="93" t="s">
        <v>212</v>
      </c>
      <c r="C13" s="93" t="s">
        <v>387</v>
      </c>
      <c r="D13" s="96">
        <v>347</v>
      </c>
      <c r="E13" s="97" t="s">
        <v>34</v>
      </c>
      <c r="F13" s="97" t="s">
        <v>608</v>
      </c>
      <c r="G13" s="97" t="s">
        <v>36</v>
      </c>
      <c r="H13" s="97" t="s">
        <v>37</v>
      </c>
      <c r="I13" s="97" t="s">
        <v>38</v>
      </c>
      <c r="J13" s="97" t="s">
        <v>598</v>
      </c>
      <c r="K13" s="97" t="s">
        <v>391</v>
      </c>
      <c r="L13" s="47">
        <v>44489</v>
      </c>
      <c r="M13" s="47">
        <v>44490</v>
      </c>
      <c r="N13" s="90">
        <f>439.46/2</f>
        <v>219.73</v>
      </c>
      <c r="O13" s="90">
        <f>439.46/2</f>
        <v>219.73</v>
      </c>
      <c r="P13" s="90">
        <f t="shared" si="0"/>
        <v>439.46</v>
      </c>
      <c r="Q13" s="88">
        <v>2</v>
      </c>
      <c r="R13" s="90">
        <v>120</v>
      </c>
      <c r="S13" s="88">
        <v>0</v>
      </c>
      <c r="T13" s="90">
        <v>0</v>
      </c>
      <c r="U13" s="90">
        <f t="shared" si="5"/>
        <v>240</v>
      </c>
      <c r="V13" s="90">
        <f t="shared" si="6"/>
        <v>679.46</v>
      </c>
      <c r="W13" s="90">
        <f t="shared" si="7"/>
        <v>679.46</v>
      </c>
      <c r="X13" s="39"/>
    </row>
    <row r="14" spans="1:24" ht="15">
      <c r="A14" s="93" t="s">
        <v>253</v>
      </c>
      <c r="B14" s="93" t="s">
        <v>253</v>
      </c>
      <c r="C14" s="93" t="s">
        <v>320</v>
      </c>
      <c r="D14" s="54">
        <v>346</v>
      </c>
      <c r="E14" s="97" t="s">
        <v>78</v>
      </c>
      <c r="F14" s="97" t="s">
        <v>608</v>
      </c>
      <c r="G14" s="97" t="s">
        <v>36</v>
      </c>
      <c r="H14" s="97" t="s">
        <v>37</v>
      </c>
      <c r="I14" s="97" t="s">
        <v>38</v>
      </c>
      <c r="J14" s="97" t="s">
        <v>598</v>
      </c>
      <c r="K14" s="97" t="s">
        <v>391</v>
      </c>
      <c r="L14" s="47">
        <v>44489</v>
      </c>
      <c r="M14" s="47">
        <v>44490</v>
      </c>
      <c r="N14" s="90">
        <f>439.46/2</f>
        <v>219.73</v>
      </c>
      <c r="O14" s="90">
        <f>439.46/2</f>
        <v>219.73</v>
      </c>
      <c r="P14" s="90">
        <f t="shared" si="0"/>
        <v>439.46</v>
      </c>
      <c r="Q14" s="88">
        <v>2</v>
      </c>
      <c r="R14" s="90">
        <v>120</v>
      </c>
      <c r="S14" s="88">
        <v>0</v>
      </c>
      <c r="T14" s="90">
        <v>0</v>
      </c>
      <c r="U14" s="90">
        <f t="shared" si="5"/>
        <v>240</v>
      </c>
      <c r="V14" s="90">
        <f t="shared" si="6"/>
        <v>679.46</v>
      </c>
      <c r="W14" s="90">
        <f t="shared" si="7"/>
        <v>679.46</v>
      </c>
      <c r="X14" s="39"/>
    </row>
    <row r="15" spans="1:24" ht="15">
      <c r="A15" s="93" t="s">
        <v>253</v>
      </c>
      <c r="B15" s="93" t="s">
        <v>288</v>
      </c>
      <c r="C15" s="93" t="s">
        <v>237</v>
      </c>
      <c r="D15" s="54">
        <v>82</v>
      </c>
      <c r="E15" s="97" t="s">
        <v>84</v>
      </c>
      <c r="F15" s="97" t="s">
        <v>608</v>
      </c>
      <c r="G15" s="97" t="s">
        <v>36</v>
      </c>
      <c r="H15" s="97" t="s">
        <v>37</v>
      </c>
      <c r="I15" s="97" t="s">
        <v>38</v>
      </c>
      <c r="J15" s="97" t="s">
        <v>598</v>
      </c>
      <c r="K15" s="97" t="s">
        <v>391</v>
      </c>
      <c r="L15" s="47">
        <v>44489</v>
      </c>
      <c r="M15" s="47">
        <v>44490</v>
      </c>
      <c r="N15" s="90">
        <f>671.21/2</f>
        <v>335.60500000000002</v>
      </c>
      <c r="O15" s="90">
        <f>671.21/2</f>
        <v>335.60500000000002</v>
      </c>
      <c r="P15" s="90">
        <f t="shared" si="0"/>
        <v>671.21</v>
      </c>
      <c r="Q15" s="88">
        <v>2</v>
      </c>
      <c r="R15" s="90">
        <v>120</v>
      </c>
      <c r="S15" s="88">
        <v>0</v>
      </c>
      <c r="T15" s="90">
        <v>0</v>
      </c>
      <c r="U15" s="90">
        <f t="shared" si="5"/>
        <v>240</v>
      </c>
      <c r="V15" s="90">
        <f t="shared" si="6"/>
        <v>911.21</v>
      </c>
      <c r="W15" s="90">
        <f t="shared" si="7"/>
        <v>911.21</v>
      </c>
      <c r="X15" s="39"/>
    </row>
    <row r="16" spans="1:24" ht="15">
      <c r="A16" s="93" t="s">
        <v>371</v>
      </c>
      <c r="B16" s="93" t="s">
        <v>371</v>
      </c>
      <c r="C16" s="93" t="s">
        <v>79</v>
      </c>
      <c r="D16" s="96">
        <v>0</v>
      </c>
      <c r="E16" s="97" t="s">
        <v>80</v>
      </c>
      <c r="F16" s="97" t="s">
        <v>608</v>
      </c>
      <c r="G16" s="97" t="s">
        <v>36</v>
      </c>
      <c r="H16" s="97" t="s">
        <v>37</v>
      </c>
      <c r="I16" s="97" t="s">
        <v>38</v>
      </c>
      <c r="J16" s="97" t="s">
        <v>598</v>
      </c>
      <c r="K16" s="97" t="s">
        <v>391</v>
      </c>
      <c r="L16" s="47">
        <v>44489</v>
      </c>
      <c r="M16" s="47">
        <v>44491</v>
      </c>
      <c r="N16" s="90">
        <f>439.46/2</f>
        <v>219.73</v>
      </c>
      <c r="O16" s="90">
        <f>439.46/2</f>
        <v>219.73</v>
      </c>
      <c r="P16" s="90">
        <f t="shared" si="0"/>
        <v>439.46</v>
      </c>
      <c r="Q16" s="88">
        <v>0</v>
      </c>
      <c r="R16" s="90">
        <v>0</v>
      </c>
      <c r="S16" s="88">
        <v>0</v>
      </c>
      <c r="T16" s="90">
        <v>0</v>
      </c>
      <c r="U16" s="90">
        <f t="shared" si="5"/>
        <v>0</v>
      </c>
      <c r="V16" s="90">
        <f t="shared" si="6"/>
        <v>439.46</v>
      </c>
      <c r="W16" s="90">
        <f t="shared" si="7"/>
        <v>439.46</v>
      </c>
      <c r="X16" s="39"/>
    </row>
    <row r="17" spans="1:24" ht="15">
      <c r="A17" s="93" t="s">
        <v>595</v>
      </c>
      <c r="B17" s="93" t="s">
        <v>305</v>
      </c>
      <c r="C17" s="93" t="s">
        <v>612</v>
      </c>
      <c r="D17" s="96">
        <v>355</v>
      </c>
      <c r="E17" s="97" t="s">
        <v>308</v>
      </c>
      <c r="F17" s="97" t="s">
        <v>608</v>
      </c>
      <c r="G17" s="97" t="s">
        <v>36</v>
      </c>
      <c r="H17" s="97" t="s">
        <v>37</v>
      </c>
      <c r="I17" s="97" t="s">
        <v>38</v>
      </c>
      <c r="J17" s="97" t="s">
        <v>598</v>
      </c>
      <c r="K17" s="97" t="s">
        <v>391</v>
      </c>
      <c r="L17" s="47">
        <v>44489</v>
      </c>
      <c r="M17" s="47">
        <v>44493</v>
      </c>
      <c r="N17" s="90">
        <f>517.81/2</f>
        <v>258.90499999999997</v>
      </c>
      <c r="O17" s="90">
        <f>517.81/2</f>
        <v>258.90499999999997</v>
      </c>
      <c r="P17" s="90">
        <f t="shared" si="0"/>
        <v>517.80999999999995</v>
      </c>
      <c r="Q17" s="88">
        <v>5</v>
      </c>
      <c r="R17" s="90">
        <v>120</v>
      </c>
      <c r="S17" s="88">
        <v>0</v>
      </c>
      <c r="T17" s="90">
        <v>0</v>
      </c>
      <c r="U17" s="90">
        <f t="shared" si="5"/>
        <v>600</v>
      </c>
      <c r="V17" s="90">
        <f t="shared" si="6"/>
        <v>1117.81</v>
      </c>
      <c r="W17" s="90">
        <f t="shared" si="7"/>
        <v>1117.81</v>
      </c>
      <c r="X17" s="39"/>
    </row>
    <row r="18" spans="1:24" ht="15">
      <c r="A18" s="93" t="s">
        <v>253</v>
      </c>
      <c r="B18" s="93" t="s">
        <v>259</v>
      </c>
      <c r="C18" s="93" t="s">
        <v>613</v>
      </c>
      <c r="D18" s="96">
        <v>372</v>
      </c>
      <c r="E18" s="97" t="s">
        <v>614</v>
      </c>
      <c r="F18" s="97" t="s">
        <v>608</v>
      </c>
      <c r="G18" s="97" t="s">
        <v>36</v>
      </c>
      <c r="H18" s="97" t="s">
        <v>37</v>
      </c>
      <c r="I18" s="97" t="s">
        <v>38</v>
      </c>
      <c r="J18" s="97" t="s">
        <v>598</v>
      </c>
      <c r="K18" s="97" t="s">
        <v>391</v>
      </c>
      <c r="L18" s="47">
        <v>44488</v>
      </c>
      <c r="M18" s="47">
        <v>44491</v>
      </c>
      <c r="N18" s="90">
        <f>695.49/2</f>
        <v>347.745</v>
      </c>
      <c r="O18" s="90">
        <f>695.49/2</f>
        <v>347.745</v>
      </c>
      <c r="P18" s="90">
        <f t="shared" si="0"/>
        <v>695.49</v>
      </c>
      <c r="Q18" s="88">
        <v>4</v>
      </c>
      <c r="R18" s="90">
        <v>120</v>
      </c>
      <c r="S18" s="88">
        <v>0</v>
      </c>
      <c r="T18" s="90">
        <v>0</v>
      </c>
      <c r="U18" s="90">
        <f t="shared" si="5"/>
        <v>480</v>
      </c>
      <c r="V18" s="90">
        <f t="shared" si="6"/>
        <v>1175.49</v>
      </c>
      <c r="W18" s="90">
        <f t="shared" si="7"/>
        <v>1175.49</v>
      </c>
      <c r="X18" s="39"/>
    </row>
    <row r="19" spans="1:24" ht="15">
      <c r="A19" s="93" t="s">
        <v>253</v>
      </c>
      <c r="B19" s="93" t="s">
        <v>259</v>
      </c>
      <c r="C19" s="93" t="s">
        <v>383</v>
      </c>
      <c r="D19" s="96">
        <v>64</v>
      </c>
      <c r="E19" s="97" t="s">
        <v>265</v>
      </c>
      <c r="F19" s="97" t="s">
        <v>608</v>
      </c>
      <c r="G19" s="97" t="s">
        <v>36</v>
      </c>
      <c r="H19" s="97" t="s">
        <v>37</v>
      </c>
      <c r="I19" s="97" t="s">
        <v>38</v>
      </c>
      <c r="J19" s="97" t="s">
        <v>598</v>
      </c>
      <c r="K19" s="97" t="s">
        <v>391</v>
      </c>
      <c r="L19" s="47">
        <v>44488</v>
      </c>
      <c r="M19" s="47">
        <v>44491</v>
      </c>
      <c r="N19" s="90">
        <v>1398.26</v>
      </c>
      <c r="O19" s="90">
        <v>1471.62</v>
      </c>
      <c r="P19" s="90">
        <f t="shared" si="0"/>
        <v>2869.88</v>
      </c>
      <c r="Q19" s="88">
        <v>4</v>
      </c>
      <c r="R19" s="90">
        <v>120</v>
      </c>
      <c r="S19" s="88">
        <v>0</v>
      </c>
      <c r="T19" s="90">
        <v>0</v>
      </c>
      <c r="U19" s="90">
        <f t="shared" si="5"/>
        <v>480</v>
      </c>
      <c r="V19" s="90">
        <f t="shared" si="6"/>
        <v>3349.88</v>
      </c>
      <c r="W19" s="90">
        <f t="shared" si="7"/>
        <v>3349.88</v>
      </c>
      <c r="X19" s="39"/>
    </row>
    <row r="20" spans="1:24" ht="15">
      <c r="A20" s="93" t="s">
        <v>595</v>
      </c>
      <c r="B20" s="93" t="s">
        <v>305</v>
      </c>
      <c r="C20" s="93" t="s">
        <v>615</v>
      </c>
      <c r="D20" s="96">
        <v>366</v>
      </c>
      <c r="E20" s="97" t="s">
        <v>616</v>
      </c>
      <c r="F20" s="97" t="s">
        <v>608</v>
      </c>
      <c r="G20" s="97" t="s">
        <v>36</v>
      </c>
      <c r="H20" s="97" t="s">
        <v>37</v>
      </c>
      <c r="I20" s="97" t="s">
        <v>38</v>
      </c>
      <c r="J20" s="97" t="s">
        <v>598</v>
      </c>
      <c r="K20" s="97" t="s">
        <v>391</v>
      </c>
      <c r="L20" s="47">
        <v>44489</v>
      </c>
      <c r="M20" s="47">
        <v>44491</v>
      </c>
      <c r="N20" s="90">
        <f>671.21/2</f>
        <v>335.60500000000002</v>
      </c>
      <c r="O20" s="90">
        <f>671.21/2</f>
        <v>335.60500000000002</v>
      </c>
      <c r="P20" s="90">
        <f t="shared" si="0"/>
        <v>671.21</v>
      </c>
      <c r="Q20" s="88">
        <v>3</v>
      </c>
      <c r="R20" s="90">
        <v>120</v>
      </c>
      <c r="S20" s="88">
        <v>0</v>
      </c>
      <c r="T20" s="90">
        <v>0</v>
      </c>
      <c r="U20" s="90">
        <f t="shared" si="5"/>
        <v>360</v>
      </c>
      <c r="V20" s="90">
        <f t="shared" si="6"/>
        <v>1031.21</v>
      </c>
      <c r="W20" s="90">
        <f t="shared" si="7"/>
        <v>1031.21</v>
      </c>
      <c r="X20" s="39"/>
    </row>
    <row r="21" spans="1:24" ht="15">
      <c r="A21" s="93" t="s">
        <v>253</v>
      </c>
      <c r="B21" s="93" t="s">
        <v>212</v>
      </c>
      <c r="C21" s="93" t="s">
        <v>387</v>
      </c>
      <c r="D21" s="96">
        <v>347</v>
      </c>
      <c r="E21" s="97" t="s">
        <v>34</v>
      </c>
      <c r="F21" s="97" t="s">
        <v>605</v>
      </c>
      <c r="G21" s="97" t="s">
        <v>36</v>
      </c>
      <c r="H21" s="97" t="s">
        <v>37</v>
      </c>
      <c r="I21" s="97" t="s">
        <v>38</v>
      </c>
      <c r="J21" s="97" t="s">
        <v>598</v>
      </c>
      <c r="K21" s="97" t="s">
        <v>391</v>
      </c>
      <c r="L21" s="47">
        <v>44474</v>
      </c>
      <c r="M21" s="47">
        <v>44476</v>
      </c>
      <c r="N21" s="90">
        <f>1125.89/2</f>
        <v>562.94500000000005</v>
      </c>
      <c r="O21" s="90">
        <f>1125.89/2</f>
        <v>562.94500000000005</v>
      </c>
      <c r="P21" s="90">
        <f t="shared" si="0"/>
        <v>1125.8900000000001</v>
      </c>
      <c r="Q21" s="88">
        <v>3</v>
      </c>
      <c r="R21" s="90">
        <v>120</v>
      </c>
      <c r="S21" s="88">
        <v>0</v>
      </c>
      <c r="T21" s="90">
        <v>0</v>
      </c>
      <c r="U21" s="90">
        <f t="shared" si="5"/>
        <v>360</v>
      </c>
      <c r="V21" s="90">
        <f t="shared" si="6"/>
        <v>1485.89</v>
      </c>
      <c r="W21" s="90">
        <f t="shared" si="7"/>
        <v>1485.89</v>
      </c>
      <c r="X21" s="39"/>
    </row>
    <row r="22" spans="1:24" ht="15">
      <c r="A22" s="93" t="s">
        <v>371</v>
      </c>
      <c r="B22" s="93" t="s">
        <v>371</v>
      </c>
      <c r="C22" s="93" t="s">
        <v>617</v>
      </c>
      <c r="D22" s="96">
        <v>57</v>
      </c>
      <c r="E22" s="97" t="s">
        <v>618</v>
      </c>
      <c r="F22" s="97" t="s">
        <v>608</v>
      </c>
      <c r="G22" s="97" t="s">
        <v>36</v>
      </c>
      <c r="H22" s="97" t="s">
        <v>37</v>
      </c>
      <c r="I22" s="97" t="s">
        <v>38</v>
      </c>
      <c r="J22" s="97" t="s">
        <v>598</v>
      </c>
      <c r="K22" s="97" t="s">
        <v>391</v>
      </c>
      <c r="L22" s="47">
        <v>44489</v>
      </c>
      <c r="M22" s="47">
        <v>44492</v>
      </c>
      <c r="N22" s="90">
        <f>699.9/2</f>
        <v>349.95</v>
      </c>
      <c r="O22" s="90">
        <f>699.9/2</f>
        <v>349.95</v>
      </c>
      <c r="P22" s="90">
        <f t="shared" si="0"/>
        <v>699.9</v>
      </c>
      <c r="Q22" s="88">
        <v>4</v>
      </c>
      <c r="R22" s="90">
        <v>120</v>
      </c>
      <c r="S22" s="88">
        <v>0</v>
      </c>
      <c r="T22" s="90">
        <v>0</v>
      </c>
      <c r="U22" s="90">
        <f t="shared" si="5"/>
        <v>480</v>
      </c>
      <c r="V22" s="90">
        <f t="shared" si="6"/>
        <v>1179.9000000000001</v>
      </c>
      <c r="W22" s="90">
        <f t="shared" si="7"/>
        <v>1179.9000000000001</v>
      </c>
      <c r="X22" s="39"/>
    </row>
    <row r="23" spans="1:24" ht="15">
      <c r="A23" s="93" t="s">
        <v>253</v>
      </c>
      <c r="B23" s="93" t="s">
        <v>288</v>
      </c>
      <c r="C23" s="93" t="s">
        <v>345</v>
      </c>
      <c r="D23" s="96">
        <v>74</v>
      </c>
      <c r="E23" s="97" t="s">
        <v>315</v>
      </c>
      <c r="F23" s="97" t="s">
        <v>619</v>
      </c>
      <c r="G23" s="97" t="s">
        <v>36</v>
      </c>
      <c r="H23" s="97" t="s">
        <v>37</v>
      </c>
      <c r="I23" s="97" t="s">
        <v>38</v>
      </c>
      <c r="J23" s="97" t="s">
        <v>598</v>
      </c>
      <c r="K23" s="97" t="s">
        <v>391</v>
      </c>
      <c r="L23" s="47">
        <v>44476</v>
      </c>
      <c r="M23" s="47">
        <v>44491</v>
      </c>
      <c r="N23" s="90">
        <f>1203.13/2</f>
        <v>601.56500000000005</v>
      </c>
      <c r="O23" s="90">
        <f>1203.13/2</f>
        <v>601.56500000000005</v>
      </c>
      <c r="P23" s="90">
        <f t="shared" si="0"/>
        <v>1203.1300000000001</v>
      </c>
      <c r="Q23" s="88">
        <v>16</v>
      </c>
      <c r="R23" s="90">
        <v>120</v>
      </c>
      <c r="S23" s="88">
        <v>0</v>
      </c>
      <c r="T23" s="90">
        <v>0</v>
      </c>
      <c r="U23" s="90">
        <f t="shared" si="5"/>
        <v>1920</v>
      </c>
      <c r="V23" s="90">
        <f t="shared" si="6"/>
        <v>3123.13</v>
      </c>
      <c r="W23" s="90">
        <f t="shared" si="7"/>
        <v>3123.13</v>
      </c>
      <c r="X23" s="39"/>
    </row>
    <row r="24" spans="1:24" ht="15">
      <c r="A24" s="93" t="s">
        <v>253</v>
      </c>
      <c r="B24" s="93" t="s">
        <v>234</v>
      </c>
      <c r="C24" s="93" t="s">
        <v>620</v>
      </c>
      <c r="D24" s="96">
        <v>365</v>
      </c>
      <c r="E24" s="97" t="s">
        <v>239</v>
      </c>
      <c r="F24" s="97" t="s">
        <v>621</v>
      </c>
      <c r="G24" s="97" t="s">
        <v>36</v>
      </c>
      <c r="H24" s="97" t="s">
        <v>37</v>
      </c>
      <c r="I24" s="97" t="s">
        <v>38</v>
      </c>
      <c r="J24" s="97" t="s">
        <v>598</v>
      </c>
      <c r="K24" s="97" t="s">
        <v>391</v>
      </c>
      <c r="L24" s="47">
        <v>44487</v>
      </c>
      <c r="M24" s="47">
        <v>44489</v>
      </c>
      <c r="N24" s="90">
        <v>1203.1300000000001</v>
      </c>
      <c r="O24" s="90">
        <v>943.13</v>
      </c>
      <c r="P24" s="90">
        <f t="shared" si="0"/>
        <v>2146.2600000000002</v>
      </c>
      <c r="Q24" s="88">
        <v>3</v>
      </c>
      <c r="R24" s="90">
        <v>120</v>
      </c>
      <c r="S24" s="88">
        <v>0</v>
      </c>
      <c r="T24" s="90">
        <v>0</v>
      </c>
      <c r="U24" s="90">
        <f t="shared" si="5"/>
        <v>360</v>
      </c>
      <c r="V24" s="90">
        <f t="shared" si="6"/>
        <v>2506.2600000000002</v>
      </c>
      <c r="W24" s="90">
        <f t="shared" si="7"/>
        <v>2506.2600000000002</v>
      </c>
      <c r="X24" s="39"/>
    </row>
    <row r="25" spans="1:24" ht="15">
      <c r="A25" s="93" t="s">
        <v>253</v>
      </c>
      <c r="B25" s="93" t="s">
        <v>234</v>
      </c>
      <c r="C25" s="93" t="s">
        <v>622</v>
      </c>
      <c r="D25" s="96">
        <v>314</v>
      </c>
      <c r="E25" s="97" t="s">
        <v>523</v>
      </c>
      <c r="F25" s="97" t="s">
        <v>621</v>
      </c>
      <c r="G25" s="97" t="s">
        <v>36</v>
      </c>
      <c r="H25" s="97" t="s">
        <v>37</v>
      </c>
      <c r="I25" s="97" t="s">
        <v>38</v>
      </c>
      <c r="J25" s="97" t="s">
        <v>598</v>
      </c>
      <c r="K25" s="97" t="s">
        <v>391</v>
      </c>
      <c r="L25" s="47">
        <v>44487</v>
      </c>
      <c r="M25" s="47">
        <v>44489</v>
      </c>
      <c r="N25" s="90">
        <f>1069.6/2</f>
        <v>534.79999999999995</v>
      </c>
      <c r="O25" s="90">
        <f>1069.6/2</f>
        <v>534.79999999999995</v>
      </c>
      <c r="P25" s="90">
        <f t="shared" si="0"/>
        <v>1069.5999999999999</v>
      </c>
      <c r="Q25" s="88">
        <v>3</v>
      </c>
      <c r="R25" s="90">
        <v>120</v>
      </c>
      <c r="S25" s="88">
        <v>0</v>
      </c>
      <c r="T25" s="90">
        <v>0</v>
      </c>
      <c r="U25" s="90">
        <f t="shared" si="5"/>
        <v>360</v>
      </c>
      <c r="V25" s="90">
        <f t="shared" si="6"/>
        <v>1429.6</v>
      </c>
      <c r="W25" s="90">
        <f t="shared" si="7"/>
        <v>1429.6</v>
      </c>
      <c r="X25" s="39"/>
    </row>
    <row r="26" spans="1:24" ht="15">
      <c r="A26" s="93" t="s">
        <v>253</v>
      </c>
      <c r="B26" s="93" t="s">
        <v>288</v>
      </c>
      <c r="C26" s="93" t="s">
        <v>623</v>
      </c>
      <c r="D26" s="96">
        <v>301</v>
      </c>
      <c r="E26" s="97" t="s">
        <v>624</v>
      </c>
      <c r="F26" s="97" t="s">
        <v>608</v>
      </c>
      <c r="G26" s="97" t="s">
        <v>36</v>
      </c>
      <c r="H26" s="97" t="s">
        <v>37</v>
      </c>
      <c r="I26" s="97" t="s">
        <v>38</v>
      </c>
      <c r="J26" s="97" t="s">
        <v>598</v>
      </c>
      <c r="K26" s="97" t="s">
        <v>391</v>
      </c>
      <c r="L26" s="47">
        <v>44489</v>
      </c>
      <c r="M26" s="47">
        <v>44490</v>
      </c>
      <c r="N26" s="90">
        <f>1626.9/2</f>
        <v>813.45</v>
      </c>
      <c r="O26" s="90">
        <f>1626.9/2</f>
        <v>813.45</v>
      </c>
      <c r="P26" s="90">
        <f t="shared" si="0"/>
        <v>1626.9</v>
      </c>
      <c r="Q26" s="88">
        <v>2</v>
      </c>
      <c r="R26" s="90">
        <v>120</v>
      </c>
      <c r="S26" s="88">
        <v>0</v>
      </c>
      <c r="T26" s="90">
        <v>0</v>
      </c>
      <c r="U26" s="90">
        <f t="shared" si="5"/>
        <v>240</v>
      </c>
      <c r="V26" s="90">
        <f t="shared" si="6"/>
        <v>1866.9</v>
      </c>
      <c r="W26" s="90">
        <f t="shared" si="7"/>
        <v>1866.9</v>
      </c>
      <c r="X26" s="39"/>
    </row>
    <row r="27" spans="1:24" ht="15">
      <c r="A27" s="93" t="s">
        <v>253</v>
      </c>
      <c r="B27" s="93" t="s">
        <v>253</v>
      </c>
      <c r="C27" s="93" t="s">
        <v>320</v>
      </c>
      <c r="D27" s="54">
        <v>346</v>
      </c>
      <c r="E27" s="97" t="s">
        <v>78</v>
      </c>
      <c r="F27" s="97" t="s">
        <v>621</v>
      </c>
      <c r="G27" s="97" t="s">
        <v>36</v>
      </c>
      <c r="H27" s="97" t="s">
        <v>37</v>
      </c>
      <c r="I27" s="97" t="s">
        <v>38</v>
      </c>
      <c r="J27" s="97" t="s">
        <v>62</v>
      </c>
      <c r="K27" s="97" t="s">
        <v>63</v>
      </c>
      <c r="L27" s="47">
        <v>44496</v>
      </c>
      <c r="M27" s="47">
        <v>44496</v>
      </c>
      <c r="N27" s="90">
        <f>3241.6/2</f>
        <v>1620.8</v>
      </c>
      <c r="O27" s="90">
        <f>3241.6/2</f>
        <v>1620.8</v>
      </c>
      <c r="P27" s="90">
        <f t="shared" si="0"/>
        <v>3241.6</v>
      </c>
      <c r="Q27" s="88">
        <v>1</v>
      </c>
      <c r="R27" s="90">
        <v>120</v>
      </c>
      <c r="S27" s="88">
        <v>0</v>
      </c>
      <c r="T27" s="90">
        <v>0</v>
      </c>
      <c r="U27" s="90">
        <f t="shared" si="5"/>
        <v>120</v>
      </c>
      <c r="V27" s="90">
        <f t="shared" si="6"/>
        <v>3361.6</v>
      </c>
      <c r="W27" s="90">
        <f t="shared" si="7"/>
        <v>3361.6</v>
      </c>
      <c r="X27" s="39"/>
    </row>
    <row r="28" spans="1:24" ht="15">
      <c r="A28" s="93" t="s">
        <v>253</v>
      </c>
      <c r="B28" s="93" t="s">
        <v>322</v>
      </c>
      <c r="C28" s="93" t="s">
        <v>456</v>
      </c>
      <c r="D28" s="69">
        <v>300</v>
      </c>
      <c r="E28" s="97" t="s">
        <v>625</v>
      </c>
      <c r="F28" s="97" t="s">
        <v>626</v>
      </c>
      <c r="G28" s="97" t="s">
        <v>36</v>
      </c>
      <c r="H28" s="97" t="s">
        <v>37</v>
      </c>
      <c r="I28" s="97" t="s">
        <v>38</v>
      </c>
      <c r="J28" s="97" t="s">
        <v>598</v>
      </c>
      <c r="K28" s="97" t="s">
        <v>391</v>
      </c>
      <c r="L28" s="47">
        <v>44467</v>
      </c>
      <c r="M28" s="47">
        <v>44470</v>
      </c>
      <c r="N28" s="90">
        <f>2187.53/2</f>
        <v>1093.7650000000001</v>
      </c>
      <c r="O28" s="90">
        <f>2187.53/2</f>
        <v>1093.7650000000001</v>
      </c>
      <c r="P28" s="90">
        <f t="shared" si="0"/>
        <v>2187.5300000000002</v>
      </c>
      <c r="Q28" s="88">
        <v>1</v>
      </c>
      <c r="R28" s="90">
        <v>120</v>
      </c>
      <c r="S28" s="88">
        <v>0</v>
      </c>
      <c r="T28" s="90">
        <v>0</v>
      </c>
      <c r="U28" s="90">
        <f t="shared" ref="U28" si="8">(Q28*R28)+(S28*T28)</f>
        <v>120</v>
      </c>
      <c r="V28" s="90">
        <f t="shared" ref="V28" si="9">U28+P28</f>
        <v>2307.5300000000002</v>
      </c>
      <c r="W28" s="90">
        <f t="shared" ref="W28" si="10">V28</f>
        <v>2307.5300000000002</v>
      </c>
      <c r="X28" s="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3" t="s">
        <v>253</v>
      </c>
      <c r="B5" s="93" t="s">
        <v>259</v>
      </c>
      <c r="C5" s="93" t="s">
        <v>185</v>
      </c>
      <c r="D5" s="54" t="s">
        <v>186</v>
      </c>
      <c r="E5" s="97" t="s">
        <v>385</v>
      </c>
      <c r="F5" s="93" t="s">
        <v>627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628</v>
      </c>
      <c r="L5" s="47">
        <v>44508</v>
      </c>
      <c r="M5" s="47">
        <v>44509</v>
      </c>
      <c r="N5" s="90">
        <f>1920.55/2</f>
        <v>960.27499999999998</v>
      </c>
      <c r="O5" s="90">
        <f>1920.55/2</f>
        <v>960.27499999999998</v>
      </c>
      <c r="P5" s="90">
        <f>SUM(N5:O5)</f>
        <v>1920.55</v>
      </c>
      <c r="Q5" s="88">
        <v>2</v>
      </c>
      <c r="R5" s="90">
        <v>120</v>
      </c>
      <c r="S5" s="88">
        <v>0</v>
      </c>
      <c r="T5" s="90">
        <v>0</v>
      </c>
      <c r="U5" s="90">
        <f t="shared" ref="U5:U11" si="0">(Q5*R5)+(S5*T5)</f>
        <v>240</v>
      </c>
      <c r="V5" s="90">
        <f t="shared" ref="V5:V11" si="1">U5+P5</f>
        <v>2160.5500000000002</v>
      </c>
      <c r="W5" s="90">
        <f t="shared" ref="W5:W11" si="2">V5</f>
        <v>2160.5500000000002</v>
      </c>
      <c r="X5" s="88"/>
    </row>
    <row r="6" spans="1:24" ht="15">
      <c r="A6" s="93" t="s">
        <v>253</v>
      </c>
      <c r="B6" s="93" t="s">
        <v>253</v>
      </c>
      <c r="C6" s="93" t="s">
        <v>320</v>
      </c>
      <c r="D6" s="54" t="s">
        <v>629</v>
      </c>
      <c r="E6" s="97" t="s">
        <v>78</v>
      </c>
      <c r="F6" s="93" t="s">
        <v>630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628</v>
      </c>
      <c r="L6" s="47">
        <v>44508</v>
      </c>
      <c r="M6" s="47">
        <v>44509</v>
      </c>
      <c r="N6" s="90">
        <f>1920.55/2</f>
        <v>960.27499999999998</v>
      </c>
      <c r="O6" s="90">
        <f>1920.55/2</f>
        <v>960.27499999999998</v>
      </c>
      <c r="P6" s="90">
        <f t="shared" ref="P6:P11" si="3">SUM(N6:O6)</f>
        <v>1920.55</v>
      </c>
      <c r="Q6" s="88">
        <v>2</v>
      </c>
      <c r="R6" s="90">
        <v>120</v>
      </c>
      <c r="S6" s="88">
        <v>0</v>
      </c>
      <c r="T6" s="90">
        <v>0</v>
      </c>
      <c r="U6" s="90">
        <f t="shared" si="0"/>
        <v>240</v>
      </c>
      <c r="V6" s="90">
        <f t="shared" si="1"/>
        <v>2160.5500000000002</v>
      </c>
      <c r="W6" s="90">
        <f t="shared" si="2"/>
        <v>2160.5500000000002</v>
      </c>
      <c r="X6" s="88"/>
    </row>
    <row r="7" spans="1:24" ht="15">
      <c r="A7" s="93" t="s">
        <v>253</v>
      </c>
      <c r="B7" s="93" t="s">
        <v>212</v>
      </c>
      <c r="C7" s="93" t="s">
        <v>270</v>
      </c>
      <c r="D7" s="93" t="s">
        <v>168</v>
      </c>
      <c r="E7" s="97" t="s">
        <v>599</v>
      </c>
      <c r="F7" s="93" t="s">
        <v>631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47">
        <v>44509</v>
      </c>
      <c r="M7" s="47">
        <v>44511</v>
      </c>
      <c r="N7" s="90">
        <f>1400.68/2</f>
        <v>700.34</v>
      </c>
      <c r="O7" s="90">
        <f>1400.68/2</f>
        <v>700.34</v>
      </c>
      <c r="P7" s="90">
        <f t="shared" si="3"/>
        <v>1400.68</v>
      </c>
      <c r="Q7" s="88">
        <v>3</v>
      </c>
      <c r="R7" s="90">
        <v>120</v>
      </c>
      <c r="S7" s="88">
        <v>0</v>
      </c>
      <c r="T7" s="90">
        <v>0</v>
      </c>
      <c r="U7" s="90">
        <f t="shared" si="0"/>
        <v>360</v>
      </c>
      <c r="V7" s="90">
        <f t="shared" si="1"/>
        <v>1760.68</v>
      </c>
      <c r="W7" s="90">
        <f t="shared" si="2"/>
        <v>1760.68</v>
      </c>
      <c r="X7" s="39"/>
    </row>
    <row r="8" spans="1:24" ht="15">
      <c r="A8" s="93" t="s">
        <v>253</v>
      </c>
      <c r="B8" s="93" t="s">
        <v>212</v>
      </c>
      <c r="C8" s="93" t="s">
        <v>387</v>
      </c>
      <c r="D8" s="96">
        <v>347</v>
      </c>
      <c r="E8" s="97" t="s">
        <v>34</v>
      </c>
      <c r="F8" s="93" t="s">
        <v>632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47">
        <v>44518</v>
      </c>
      <c r="M8" s="47">
        <v>44519</v>
      </c>
      <c r="N8" s="90">
        <v>1400.68</v>
      </c>
      <c r="O8" s="90">
        <v>943.13</v>
      </c>
      <c r="P8" s="90">
        <f t="shared" si="3"/>
        <v>2343.81</v>
      </c>
      <c r="Q8" s="88">
        <v>2</v>
      </c>
      <c r="R8" s="90">
        <v>120</v>
      </c>
      <c r="S8" s="88">
        <v>0</v>
      </c>
      <c r="T8" s="90">
        <v>0</v>
      </c>
      <c r="U8" s="90">
        <f t="shared" si="0"/>
        <v>240</v>
      </c>
      <c r="V8" s="90">
        <f t="shared" si="1"/>
        <v>2583.81</v>
      </c>
      <c r="W8" s="90">
        <f t="shared" si="2"/>
        <v>2583.81</v>
      </c>
      <c r="X8" s="39"/>
    </row>
    <row r="9" spans="1:24" ht="15">
      <c r="A9" s="93" t="s">
        <v>253</v>
      </c>
      <c r="B9" s="93" t="s">
        <v>234</v>
      </c>
      <c r="C9" s="93" t="s">
        <v>576</v>
      </c>
      <c r="D9" s="96">
        <v>285</v>
      </c>
      <c r="E9" s="97" t="s">
        <v>187</v>
      </c>
      <c r="F9" s="93" t="s">
        <v>633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47">
        <v>44523</v>
      </c>
      <c r="M9" s="47">
        <v>44524</v>
      </c>
      <c r="N9" s="90">
        <f>2136.77/2</f>
        <v>1068.385</v>
      </c>
      <c r="O9" s="90">
        <f>2136.77/2</f>
        <v>1068.385</v>
      </c>
      <c r="P9" s="90">
        <f t="shared" si="3"/>
        <v>2136.77</v>
      </c>
      <c r="Q9" s="88">
        <v>2</v>
      </c>
      <c r="R9" s="90">
        <v>120</v>
      </c>
      <c r="S9" s="88">
        <v>0</v>
      </c>
      <c r="T9" s="90">
        <v>0</v>
      </c>
      <c r="U9" s="90">
        <f t="shared" si="0"/>
        <v>240</v>
      </c>
      <c r="V9" s="90">
        <f t="shared" si="1"/>
        <v>2376.77</v>
      </c>
      <c r="W9" s="90">
        <f t="shared" si="2"/>
        <v>2376.77</v>
      </c>
      <c r="X9" s="39"/>
    </row>
    <row r="10" spans="1:24" ht="15">
      <c r="A10" s="93" t="s">
        <v>253</v>
      </c>
      <c r="B10" s="93" t="s">
        <v>234</v>
      </c>
      <c r="C10" s="93" t="s">
        <v>622</v>
      </c>
      <c r="D10" s="96">
        <v>314</v>
      </c>
      <c r="E10" s="97" t="s">
        <v>523</v>
      </c>
      <c r="F10" s="93" t="s">
        <v>633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47">
        <v>44523</v>
      </c>
      <c r="M10" s="47">
        <v>44524</v>
      </c>
      <c r="N10" s="90">
        <v>1096.08</v>
      </c>
      <c r="O10" s="90">
        <v>1405.09</v>
      </c>
      <c r="P10" s="90">
        <f t="shared" si="3"/>
        <v>2501.17</v>
      </c>
      <c r="Q10" s="88">
        <v>2</v>
      </c>
      <c r="R10" s="90">
        <v>120</v>
      </c>
      <c r="S10" s="88">
        <v>0</v>
      </c>
      <c r="T10" s="90">
        <v>0</v>
      </c>
      <c r="U10" s="90">
        <f t="shared" si="0"/>
        <v>240</v>
      </c>
      <c r="V10" s="90">
        <f t="shared" si="1"/>
        <v>2741.17</v>
      </c>
      <c r="W10" s="90">
        <f t="shared" si="2"/>
        <v>2741.17</v>
      </c>
      <c r="X10" s="39"/>
    </row>
    <row r="11" spans="1:24" ht="15">
      <c r="A11" s="93" t="s">
        <v>253</v>
      </c>
      <c r="B11" s="93" t="s">
        <v>234</v>
      </c>
      <c r="C11" s="93" t="s">
        <v>620</v>
      </c>
      <c r="D11" s="69">
        <v>365</v>
      </c>
      <c r="E11" s="97" t="s">
        <v>239</v>
      </c>
      <c r="F11" s="93" t="s">
        <v>633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47">
        <v>44523</v>
      </c>
      <c r="M11" s="47">
        <v>44524</v>
      </c>
      <c r="N11" s="90">
        <v>1096.08</v>
      </c>
      <c r="O11" s="90">
        <v>1405.09</v>
      </c>
      <c r="P11" s="90">
        <f t="shared" si="3"/>
        <v>2501.17</v>
      </c>
      <c r="Q11" s="88">
        <v>2</v>
      </c>
      <c r="R11" s="90">
        <v>120</v>
      </c>
      <c r="S11" s="88">
        <v>0</v>
      </c>
      <c r="T11" s="90">
        <v>0</v>
      </c>
      <c r="U11" s="90">
        <f t="shared" si="0"/>
        <v>240</v>
      </c>
      <c r="V11" s="90">
        <f t="shared" si="1"/>
        <v>2741.17</v>
      </c>
      <c r="W11" s="90">
        <f t="shared" si="2"/>
        <v>2741.17</v>
      </c>
      <c r="X11" s="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42.75">
      <c r="A5" s="95" t="s">
        <v>253</v>
      </c>
      <c r="B5" s="95" t="s">
        <v>259</v>
      </c>
      <c r="C5" s="95" t="s">
        <v>185</v>
      </c>
      <c r="D5" s="95">
        <v>119</v>
      </c>
      <c r="E5" s="95" t="s">
        <v>385</v>
      </c>
      <c r="F5" s="59" t="s">
        <v>634</v>
      </c>
      <c r="G5" s="95" t="s">
        <v>36</v>
      </c>
      <c r="H5" s="95" t="s">
        <v>37</v>
      </c>
      <c r="I5" s="95" t="s">
        <v>38</v>
      </c>
      <c r="J5" s="95" t="s">
        <v>598</v>
      </c>
      <c r="K5" s="95" t="s">
        <v>391</v>
      </c>
      <c r="L5" s="47">
        <v>44542</v>
      </c>
      <c r="M5" s="47">
        <v>44547</v>
      </c>
      <c r="N5" s="90">
        <f>570.26/2</f>
        <v>285.13</v>
      </c>
      <c r="O5" s="90">
        <f>570.26/2</f>
        <v>285.13</v>
      </c>
      <c r="P5" s="90">
        <f>SUM(N5:O5)</f>
        <v>570.26</v>
      </c>
      <c r="Q5" s="88">
        <v>6</v>
      </c>
      <c r="R5" s="90">
        <v>120</v>
      </c>
      <c r="S5" s="88">
        <v>0</v>
      </c>
      <c r="T5" s="90">
        <v>0</v>
      </c>
      <c r="U5" s="90">
        <f t="shared" ref="U5:U8" si="0">(Q5*R5)+(S5*T5)</f>
        <v>720</v>
      </c>
      <c r="V5" s="90">
        <f t="shared" ref="V5:V8" si="1">U5+P5</f>
        <v>1290.26</v>
      </c>
      <c r="W5" s="90">
        <f t="shared" ref="W5:W8" si="2">V5</f>
        <v>1290.26</v>
      </c>
      <c r="X5" s="88"/>
    </row>
    <row r="6" spans="1:24">
      <c r="A6" s="95" t="s">
        <v>253</v>
      </c>
      <c r="B6" s="95" t="s">
        <v>259</v>
      </c>
      <c r="C6" s="95" t="s">
        <v>613</v>
      </c>
      <c r="D6" s="95">
        <v>372</v>
      </c>
      <c r="E6" s="95" t="s">
        <v>614</v>
      </c>
      <c r="F6" s="95" t="s">
        <v>635</v>
      </c>
      <c r="G6" s="95" t="s">
        <v>36</v>
      </c>
      <c r="H6" s="95" t="s">
        <v>37</v>
      </c>
      <c r="I6" s="95" t="s">
        <v>38</v>
      </c>
      <c r="J6" s="95" t="s">
        <v>598</v>
      </c>
      <c r="K6" s="95" t="s">
        <v>391</v>
      </c>
      <c r="L6" s="47">
        <v>44544</v>
      </c>
      <c r="M6" s="47">
        <v>44547</v>
      </c>
      <c r="N6" s="90">
        <f>892.26/2</f>
        <v>446.13</v>
      </c>
      <c r="O6" s="90">
        <f>892.26/2</f>
        <v>446.13</v>
      </c>
      <c r="P6" s="90">
        <f t="shared" ref="P6:P8" si="3">SUM(N6:O6)</f>
        <v>892.26</v>
      </c>
      <c r="Q6" s="88">
        <v>4</v>
      </c>
      <c r="R6" s="90">
        <v>120</v>
      </c>
      <c r="S6" s="88">
        <v>0</v>
      </c>
      <c r="T6" s="90">
        <v>0</v>
      </c>
      <c r="U6" s="90">
        <f t="shared" si="0"/>
        <v>480</v>
      </c>
      <c r="V6" s="90">
        <f t="shared" si="1"/>
        <v>1372.26</v>
      </c>
      <c r="W6" s="90">
        <f t="shared" si="2"/>
        <v>1372.26</v>
      </c>
      <c r="X6" s="88"/>
    </row>
    <row r="7" spans="1:24">
      <c r="A7" s="95" t="s">
        <v>253</v>
      </c>
      <c r="B7" s="95" t="s">
        <v>288</v>
      </c>
      <c r="C7" s="95" t="s">
        <v>636</v>
      </c>
      <c r="D7" s="95">
        <v>78</v>
      </c>
      <c r="E7" s="95" t="s">
        <v>98</v>
      </c>
      <c r="F7" s="95" t="s">
        <v>637</v>
      </c>
      <c r="G7" s="95" t="s">
        <v>36</v>
      </c>
      <c r="H7" s="95" t="s">
        <v>37</v>
      </c>
      <c r="I7" s="95" t="s">
        <v>38</v>
      </c>
      <c r="J7" s="95" t="s">
        <v>598</v>
      </c>
      <c r="K7" s="95" t="s">
        <v>391</v>
      </c>
      <c r="L7" s="47">
        <v>44518</v>
      </c>
      <c r="M7" s="47">
        <v>44537</v>
      </c>
      <c r="N7" s="90">
        <f>1096.08/2</f>
        <v>548.04</v>
      </c>
      <c r="O7" s="90">
        <f>1096.08/2</f>
        <v>548.04</v>
      </c>
      <c r="P7" s="90">
        <f t="shared" si="3"/>
        <v>1096.08</v>
      </c>
      <c r="Q7" s="88">
        <v>20</v>
      </c>
      <c r="R7" s="90">
        <v>120</v>
      </c>
      <c r="S7" s="88">
        <v>0</v>
      </c>
      <c r="T7" s="90">
        <v>0</v>
      </c>
      <c r="U7" s="90">
        <f t="shared" si="0"/>
        <v>2400</v>
      </c>
      <c r="V7" s="90">
        <f t="shared" si="1"/>
        <v>3496.08</v>
      </c>
      <c r="W7" s="90">
        <f t="shared" si="2"/>
        <v>3496.08</v>
      </c>
      <c r="X7" s="60"/>
    </row>
    <row r="8" spans="1:24">
      <c r="A8" s="95" t="s">
        <v>253</v>
      </c>
      <c r="B8" s="95" t="s">
        <v>288</v>
      </c>
      <c r="C8" s="95" t="s">
        <v>456</v>
      </c>
      <c r="D8" s="95">
        <v>314</v>
      </c>
      <c r="E8" s="95" t="s">
        <v>523</v>
      </c>
      <c r="F8" s="95" t="s">
        <v>638</v>
      </c>
      <c r="G8" s="95" t="s">
        <v>36</v>
      </c>
      <c r="H8" s="95" t="s">
        <v>37</v>
      </c>
      <c r="I8" s="95" t="s">
        <v>38</v>
      </c>
      <c r="J8" s="95" t="s">
        <v>598</v>
      </c>
      <c r="K8" s="95" t="s">
        <v>391</v>
      </c>
      <c r="L8" s="47">
        <v>44519</v>
      </c>
      <c r="M8" s="47">
        <v>44537</v>
      </c>
      <c r="N8" s="90">
        <f>1405.09/2</f>
        <v>702.54499999999996</v>
      </c>
      <c r="O8" s="90">
        <f>1405.09/2</f>
        <v>702.54499999999996</v>
      </c>
      <c r="P8" s="90">
        <f t="shared" si="3"/>
        <v>1405.09</v>
      </c>
      <c r="Q8" s="88">
        <v>0</v>
      </c>
      <c r="R8" s="90">
        <v>0</v>
      </c>
      <c r="S8" s="88">
        <v>0</v>
      </c>
      <c r="T8" s="90">
        <v>0</v>
      </c>
      <c r="U8" s="90">
        <f t="shared" si="0"/>
        <v>0</v>
      </c>
      <c r="V8" s="90">
        <f t="shared" si="1"/>
        <v>1405.09</v>
      </c>
      <c r="W8" s="90">
        <f t="shared" si="2"/>
        <v>1405.09</v>
      </c>
      <c r="X8" s="6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3" t="s">
        <v>253</v>
      </c>
      <c r="B5" s="93" t="s">
        <v>212</v>
      </c>
      <c r="C5" s="93" t="s">
        <v>387</v>
      </c>
      <c r="D5" s="69">
        <v>347</v>
      </c>
      <c r="E5" s="97" t="s">
        <v>34</v>
      </c>
      <c r="F5" s="93" t="s">
        <v>639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47">
        <v>44584</v>
      </c>
      <c r="M5" s="47">
        <v>44586</v>
      </c>
      <c r="N5" s="90">
        <f>3620.5/2</f>
        <v>1810.25</v>
      </c>
      <c r="O5" s="90">
        <f>3620.5/2</f>
        <v>1810.25</v>
      </c>
      <c r="P5" s="90">
        <f>SUM(N5:O5)</f>
        <v>3620.5</v>
      </c>
      <c r="Q5" s="88">
        <v>3</v>
      </c>
      <c r="R5" s="90">
        <v>120</v>
      </c>
      <c r="S5" s="88">
        <v>0</v>
      </c>
      <c r="T5" s="90">
        <v>0</v>
      </c>
      <c r="U5" s="90">
        <f t="shared" ref="U5" si="0">(Q5*R5)+(S5*T5)</f>
        <v>360</v>
      </c>
      <c r="V5" s="90">
        <f t="shared" ref="V5" si="1">U5+P5</f>
        <v>3980.5</v>
      </c>
      <c r="W5" s="90">
        <f t="shared" ref="W5" si="2">V5</f>
        <v>3980.5</v>
      </c>
      <c r="X5" s="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3" t="s">
        <v>253</v>
      </c>
      <c r="B5" s="93" t="s">
        <v>212</v>
      </c>
      <c r="C5" s="93" t="s">
        <v>387</v>
      </c>
      <c r="D5" s="69">
        <v>347</v>
      </c>
      <c r="E5" s="97" t="s">
        <v>34</v>
      </c>
      <c r="F5" s="93" t="s">
        <v>640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47">
        <v>44605</v>
      </c>
      <c r="M5" s="47">
        <v>44608</v>
      </c>
      <c r="N5" s="90">
        <f>2846.92/2</f>
        <v>1423.46</v>
      </c>
      <c r="O5" s="90">
        <f>2846.92/2</f>
        <v>1423.46</v>
      </c>
      <c r="P5" s="90">
        <f>SUM(N5:O5)</f>
        <v>2846.92</v>
      </c>
      <c r="Q5" s="88">
        <v>4</v>
      </c>
      <c r="R5" s="90">
        <v>120</v>
      </c>
      <c r="S5" s="88">
        <v>0</v>
      </c>
      <c r="T5" s="90">
        <v>0</v>
      </c>
      <c r="U5" s="90">
        <f t="shared" ref="U5" si="0">(Q5*R5)+(S5*T5)</f>
        <v>480</v>
      </c>
      <c r="V5" s="90">
        <f t="shared" ref="V5" si="1">U5+P5</f>
        <v>3326.92</v>
      </c>
      <c r="W5" s="90">
        <f t="shared" ref="W5" si="2">V5</f>
        <v>3326.92</v>
      </c>
      <c r="X5" s="8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595</v>
      </c>
      <c r="B5" s="97" t="s">
        <v>595</v>
      </c>
      <c r="C5" s="97" t="s">
        <v>412</v>
      </c>
      <c r="D5" s="69">
        <v>0</v>
      </c>
      <c r="E5" s="97" t="s">
        <v>562</v>
      </c>
      <c r="F5" s="97" t="s">
        <v>357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47">
        <v>44643</v>
      </c>
      <c r="M5" s="47">
        <v>44647</v>
      </c>
      <c r="N5" s="90">
        <f>987.45/2</f>
        <v>493.72500000000002</v>
      </c>
      <c r="O5" s="90">
        <f>987.45/2</f>
        <v>493.72500000000002</v>
      </c>
      <c r="P5" s="90">
        <f>SUM(N5:O5)</f>
        <v>987.45</v>
      </c>
      <c r="Q5" s="88"/>
      <c r="R5" s="90"/>
      <c r="S5" s="88">
        <v>0</v>
      </c>
      <c r="T5" s="90">
        <v>0</v>
      </c>
      <c r="U5" s="90">
        <f t="shared" ref="U5" si="0">(Q5*R5)+(S5*T5)</f>
        <v>0</v>
      </c>
      <c r="V5" s="90">
        <f t="shared" ref="V5" si="1">U5+P5</f>
        <v>987.45</v>
      </c>
      <c r="W5" s="90">
        <f t="shared" ref="W5" si="2">V5</f>
        <v>987.45</v>
      </c>
      <c r="X5" s="88"/>
    </row>
    <row r="6" spans="1:24" ht="15">
      <c r="A6" s="97" t="s">
        <v>595</v>
      </c>
      <c r="B6" s="97" t="s">
        <v>305</v>
      </c>
      <c r="C6" s="97" t="s">
        <v>612</v>
      </c>
      <c r="D6" s="69">
        <v>355</v>
      </c>
      <c r="E6" s="97" t="s">
        <v>308</v>
      </c>
      <c r="F6" s="97" t="s">
        <v>357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47">
        <v>44643</v>
      </c>
      <c r="M6" s="47">
        <v>44647</v>
      </c>
      <c r="N6" s="90">
        <f>2876.93/2</f>
        <v>1438.4649999999999</v>
      </c>
      <c r="O6" s="90">
        <f>2876.93/2</f>
        <v>1438.4649999999999</v>
      </c>
      <c r="P6" s="90">
        <f>SUM(N6:O6)</f>
        <v>2876.93</v>
      </c>
      <c r="Q6" s="88">
        <v>5</v>
      </c>
      <c r="R6" s="90">
        <v>120</v>
      </c>
      <c r="S6" s="88">
        <v>0</v>
      </c>
      <c r="T6" s="90">
        <v>0</v>
      </c>
      <c r="U6" s="90">
        <f t="shared" ref="U6" si="3">(Q6*R6)+(S6*T6)</f>
        <v>600</v>
      </c>
      <c r="V6" s="90">
        <f t="shared" ref="V6" si="4">U6+P6</f>
        <v>3476.93</v>
      </c>
      <c r="W6" s="90">
        <f t="shared" ref="W6" si="5">V6</f>
        <v>3476.93</v>
      </c>
      <c r="X6" s="88"/>
    </row>
    <row r="7" spans="1:24" ht="15">
      <c r="A7" s="97" t="s">
        <v>253</v>
      </c>
      <c r="B7" s="97" t="s">
        <v>288</v>
      </c>
      <c r="C7" s="97" t="s">
        <v>636</v>
      </c>
      <c r="D7" s="69">
        <v>78</v>
      </c>
      <c r="E7" s="97" t="s">
        <v>98</v>
      </c>
      <c r="F7" s="97" t="s">
        <v>641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47">
        <v>44610</v>
      </c>
      <c r="M7" s="47">
        <v>44623</v>
      </c>
      <c r="N7" s="90">
        <f>2980.92/2</f>
        <v>1490.46</v>
      </c>
      <c r="O7" s="90">
        <f>2980.92/2</f>
        <v>1490.46</v>
      </c>
      <c r="P7" s="90">
        <f>SUM(N7:O7)</f>
        <v>2980.92</v>
      </c>
      <c r="Q7" s="88">
        <v>14</v>
      </c>
      <c r="R7" s="90">
        <v>120</v>
      </c>
      <c r="S7" s="88">
        <v>0</v>
      </c>
      <c r="T7" s="90">
        <v>0</v>
      </c>
      <c r="U7" s="90">
        <f t="shared" ref="U7" si="6">(Q7*R7)+(S7*T7)</f>
        <v>1680</v>
      </c>
      <c r="V7" s="90">
        <f t="shared" ref="V7" si="7">U7+P7</f>
        <v>4660.92</v>
      </c>
      <c r="W7" s="90">
        <f t="shared" ref="W7" si="8">V7</f>
        <v>4660.92</v>
      </c>
      <c r="X7" s="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288</v>
      </c>
      <c r="C5" s="97" t="s">
        <v>642</v>
      </c>
      <c r="D5" s="69">
        <v>252</v>
      </c>
      <c r="E5" s="97" t="s">
        <v>98</v>
      </c>
      <c r="F5" s="97" t="s">
        <v>643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47">
        <v>44659</v>
      </c>
      <c r="M5" s="47">
        <v>44677</v>
      </c>
      <c r="N5" s="90">
        <v>2980.92</v>
      </c>
      <c r="O5" s="90">
        <v>1405.09</v>
      </c>
      <c r="P5" s="90">
        <f>SUM(N5:O5)</f>
        <v>4386.01</v>
      </c>
      <c r="Q5" s="88"/>
      <c r="R5" s="90"/>
      <c r="S5" s="88">
        <v>0</v>
      </c>
      <c r="T5" s="90">
        <v>0</v>
      </c>
      <c r="U5" s="90">
        <f t="shared" ref="U5:U29" si="0">(Q5*R5)+(S5*T5)</f>
        <v>0</v>
      </c>
      <c r="V5" s="90">
        <f t="shared" ref="V5:V7" si="1">U5+P5</f>
        <v>4386.01</v>
      </c>
      <c r="W5" s="90">
        <f t="shared" ref="W5:W7" si="2">V5</f>
        <v>4386.01</v>
      </c>
      <c r="X5" s="88"/>
    </row>
    <row r="6" spans="1:24" ht="15">
      <c r="A6" s="97" t="s">
        <v>371</v>
      </c>
      <c r="B6" s="97" t="s">
        <v>371</v>
      </c>
      <c r="C6" s="97" t="s">
        <v>79</v>
      </c>
      <c r="D6" s="69">
        <v>0</v>
      </c>
      <c r="E6" s="97" t="s">
        <v>80</v>
      </c>
      <c r="F6" s="97" t="s">
        <v>644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261</v>
      </c>
      <c r="L6" s="47">
        <v>44658</v>
      </c>
      <c r="M6" s="47">
        <v>44659</v>
      </c>
      <c r="N6" s="90">
        <v>0</v>
      </c>
      <c r="O6" s="90">
        <v>0</v>
      </c>
      <c r="P6" s="90">
        <f>SUM(N6:O6)</f>
        <v>0</v>
      </c>
      <c r="Q6" s="88">
        <v>0</v>
      </c>
      <c r="R6" s="90">
        <v>0</v>
      </c>
      <c r="S6" s="88">
        <v>0</v>
      </c>
      <c r="T6" s="90">
        <v>0</v>
      </c>
      <c r="U6" s="90">
        <f t="shared" si="0"/>
        <v>0</v>
      </c>
      <c r="V6" s="90">
        <f t="shared" si="1"/>
        <v>0</v>
      </c>
      <c r="W6" s="90">
        <f t="shared" si="2"/>
        <v>0</v>
      </c>
      <c r="X6" s="88"/>
    </row>
    <row r="7" spans="1:24" ht="15">
      <c r="A7" s="97" t="s">
        <v>371</v>
      </c>
      <c r="B7" s="97" t="s">
        <v>371</v>
      </c>
      <c r="C7" s="97" t="s">
        <v>617</v>
      </c>
      <c r="D7" s="69">
        <v>57</v>
      </c>
      <c r="E7" s="97" t="s">
        <v>618</v>
      </c>
      <c r="F7" s="97" t="s">
        <v>644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261</v>
      </c>
      <c r="L7" s="47">
        <v>44658</v>
      </c>
      <c r="M7" s="47">
        <v>44659</v>
      </c>
      <c r="N7" s="90">
        <v>0</v>
      </c>
      <c r="O7" s="90">
        <v>0</v>
      </c>
      <c r="P7" s="90">
        <f t="shared" ref="P7:P29" si="3">SUM(N7:O7)</f>
        <v>0</v>
      </c>
      <c r="Q7" s="88">
        <v>2</v>
      </c>
      <c r="R7" s="90">
        <v>120</v>
      </c>
      <c r="S7" s="88">
        <v>0</v>
      </c>
      <c r="T7" s="90">
        <v>0</v>
      </c>
      <c r="U7" s="90">
        <f t="shared" si="0"/>
        <v>240</v>
      </c>
      <c r="V7" s="90">
        <f t="shared" si="1"/>
        <v>240</v>
      </c>
      <c r="W7" s="90">
        <f t="shared" si="2"/>
        <v>240</v>
      </c>
      <c r="X7" s="88"/>
    </row>
    <row r="8" spans="1:24" ht="15">
      <c r="A8" s="97" t="s">
        <v>231</v>
      </c>
      <c r="B8" s="97" t="s">
        <v>366</v>
      </c>
      <c r="C8" s="97" t="s">
        <v>367</v>
      </c>
      <c r="D8" s="69">
        <v>23</v>
      </c>
      <c r="E8" s="97" t="s">
        <v>609</v>
      </c>
      <c r="F8" s="97" t="s">
        <v>644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261</v>
      </c>
      <c r="L8" s="47">
        <v>44658</v>
      </c>
      <c r="M8" s="47">
        <v>44659</v>
      </c>
      <c r="N8" s="90">
        <v>0</v>
      </c>
      <c r="O8" s="90">
        <v>0</v>
      </c>
      <c r="P8" s="90">
        <f t="shared" si="3"/>
        <v>0</v>
      </c>
      <c r="Q8" s="88">
        <v>2</v>
      </c>
      <c r="R8" s="90">
        <v>120</v>
      </c>
      <c r="S8" s="88">
        <v>0</v>
      </c>
      <c r="T8" s="90"/>
      <c r="U8" s="90">
        <f t="shared" si="0"/>
        <v>240</v>
      </c>
      <c r="V8" s="90">
        <f t="shared" ref="V8:V29" si="4">U8+P8</f>
        <v>240</v>
      </c>
      <c r="W8" s="90">
        <f t="shared" ref="W8:W29" si="5">V8</f>
        <v>240</v>
      </c>
      <c r="X8" s="39"/>
    </row>
    <row r="9" spans="1:24" ht="15">
      <c r="A9" s="97" t="s">
        <v>231</v>
      </c>
      <c r="B9" s="97" t="s">
        <v>231</v>
      </c>
      <c r="C9" s="97" t="s">
        <v>412</v>
      </c>
      <c r="D9" s="69">
        <v>0</v>
      </c>
      <c r="E9" s="97" t="s">
        <v>562</v>
      </c>
      <c r="F9" s="97" t="s">
        <v>644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47">
        <v>44658</v>
      </c>
      <c r="M9" s="47">
        <v>44659</v>
      </c>
      <c r="N9" s="90">
        <v>0</v>
      </c>
      <c r="O9" s="90">
        <v>0</v>
      </c>
      <c r="P9" s="90">
        <f t="shared" si="3"/>
        <v>0</v>
      </c>
      <c r="Q9" s="88">
        <v>0</v>
      </c>
      <c r="R9" s="90">
        <v>0</v>
      </c>
      <c r="S9" s="88">
        <v>0</v>
      </c>
      <c r="T9" s="90"/>
      <c r="U9" s="90">
        <f t="shared" si="0"/>
        <v>0</v>
      </c>
      <c r="V9" s="90">
        <f t="shared" si="4"/>
        <v>0</v>
      </c>
      <c r="W9" s="90">
        <f t="shared" si="5"/>
        <v>0</v>
      </c>
      <c r="X9" s="39"/>
    </row>
    <row r="10" spans="1:24" ht="15">
      <c r="A10" s="97" t="s">
        <v>253</v>
      </c>
      <c r="B10" s="97" t="s">
        <v>259</v>
      </c>
      <c r="C10" s="97" t="s">
        <v>613</v>
      </c>
      <c r="D10" s="69">
        <v>372</v>
      </c>
      <c r="E10" s="97" t="s">
        <v>191</v>
      </c>
      <c r="F10" s="97" t="s">
        <v>644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261</v>
      </c>
      <c r="L10" s="47">
        <v>44658</v>
      </c>
      <c r="M10" s="47">
        <v>44659</v>
      </c>
      <c r="N10" s="90">
        <v>0</v>
      </c>
      <c r="O10" s="90">
        <v>0</v>
      </c>
      <c r="P10" s="90">
        <f t="shared" si="3"/>
        <v>0</v>
      </c>
      <c r="Q10" s="88">
        <v>2</v>
      </c>
      <c r="R10" s="90">
        <v>120</v>
      </c>
      <c r="S10" s="88">
        <v>0</v>
      </c>
      <c r="T10" s="90"/>
      <c r="U10" s="90">
        <f t="shared" si="0"/>
        <v>240</v>
      </c>
      <c r="V10" s="90">
        <f t="shared" si="4"/>
        <v>240</v>
      </c>
      <c r="W10" s="90">
        <f t="shared" si="5"/>
        <v>240</v>
      </c>
      <c r="X10" s="39"/>
    </row>
    <row r="11" spans="1:24" ht="15">
      <c r="A11" s="97" t="s">
        <v>231</v>
      </c>
      <c r="B11" s="97" t="s">
        <v>221</v>
      </c>
      <c r="C11" s="97" t="s">
        <v>54</v>
      </c>
      <c r="D11" s="69">
        <v>56</v>
      </c>
      <c r="E11" s="97" t="s">
        <v>610</v>
      </c>
      <c r="F11" s="97" t="s">
        <v>644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261</v>
      </c>
      <c r="L11" s="47">
        <v>44658</v>
      </c>
      <c r="M11" s="47">
        <v>44659</v>
      </c>
      <c r="N11" s="90">
        <v>0</v>
      </c>
      <c r="O11" s="90">
        <v>0</v>
      </c>
      <c r="P11" s="90">
        <f t="shared" si="3"/>
        <v>0</v>
      </c>
      <c r="Q11" s="88">
        <v>2</v>
      </c>
      <c r="R11" s="90">
        <v>120</v>
      </c>
      <c r="S11" s="88">
        <v>0</v>
      </c>
      <c r="T11" s="90"/>
      <c r="U11" s="90">
        <f t="shared" si="0"/>
        <v>240</v>
      </c>
      <c r="V11" s="90">
        <f t="shared" si="4"/>
        <v>240</v>
      </c>
      <c r="W11" s="90">
        <f t="shared" si="5"/>
        <v>240</v>
      </c>
      <c r="X11" s="39"/>
    </row>
    <row r="12" spans="1:24" ht="15">
      <c r="A12" s="97" t="s">
        <v>231</v>
      </c>
      <c r="B12" s="97" t="s">
        <v>229</v>
      </c>
      <c r="C12" s="97" t="s">
        <v>71</v>
      </c>
      <c r="D12" s="69">
        <v>303</v>
      </c>
      <c r="E12" s="97" t="s">
        <v>645</v>
      </c>
      <c r="F12" s="97" t="s">
        <v>644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47">
        <v>44658</v>
      </c>
      <c r="M12" s="47">
        <v>44659</v>
      </c>
      <c r="N12" s="90">
        <v>0</v>
      </c>
      <c r="O12" s="90">
        <v>0</v>
      </c>
      <c r="P12" s="90">
        <f t="shared" si="3"/>
        <v>0</v>
      </c>
      <c r="Q12" s="88">
        <v>2</v>
      </c>
      <c r="R12" s="90">
        <v>120</v>
      </c>
      <c r="S12" s="88">
        <v>0</v>
      </c>
      <c r="T12" s="90"/>
      <c r="U12" s="90">
        <f t="shared" si="0"/>
        <v>240</v>
      </c>
      <c r="V12" s="90">
        <f t="shared" si="4"/>
        <v>240</v>
      </c>
      <c r="W12" s="90">
        <f t="shared" si="5"/>
        <v>240</v>
      </c>
      <c r="X12" s="39"/>
    </row>
    <row r="13" spans="1:24" ht="15">
      <c r="A13" s="97" t="s">
        <v>231</v>
      </c>
      <c r="B13" s="97" t="s">
        <v>229</v>
      </c>
      <c r="C13" s="97" t="s">
        <v>586</v>
      </c>
      <c r="D13" s="69">
        <v>357</v>
      </c>
      <c r="E13" s="97" t="s">
        <v>248</v>
      </c>
      <c r="F13" s="97" t="s">
        <v>644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261</v>
      </c>
      <c r="L13" s="47">
        <v>44658</v>
      </c>
      <c r="M13" s="47">
        <v>44659</v>
      </c>
      <c r="N13" s="90">
        <v>0</v>
      </c>
      <c r="O13" s="90">
        <v>0</v>
      </c>
      <c r="P13" s="90">
        <f t="shared" si="3"/>
        <v>0</v>
      </c>
      <c r="Q13" s="88">
        <v>2</v>
      </c>
      <c r="R13" s="90">
        <v>120</v>
      </c>
      <c r="S13" s="88">
        <v>0</v>
      </c>
      <c r="T13" s="90"/>
      <c r="U13" s="90">
        <f t="shared" si="0"/>
        <v>240</v>
      </c>
      <c r="V13" s="90">
        <f t="shared" si="4"/>
        <v>240</v>
      </c>
      <c r="W13" s="90">
        <f t="shared" si="5"/>
        <v>240</v>
      </c>
      <c r="X13" s="39"/>
    </row>
    <row r="14" spans="1:24" ht="15">
      <c r="A14" s="97" t="s">
        <v>253</v>
      </c>
      <c r="B14" s="97" t="s">
        <v>212</v>
      </c>
      <c r="C14" s="97" t="s">
        <v>404</v>
      </c>
      <c r="D14" s="69">
        <v>345</v>
      </c>
      <c r="E14" s="97" t="s">
        <v>646</v>
      </c>
      <c r="F14" s="97" t="s">
        <v>644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261</v>
      </c>
      <c r="L14" s="47">
        <v>44658</v>
      </c>
      <c r="M14" s="47">
        <v>44659</v>
      </c>
      <c r="N14" s="90">
        <v>0</v>
      </c>
      <c r="O14" s="90">
        <v>0</v>
      </c>
      <c r="P14" s="90">
        <f t="shared" si="3"/>
        <v>0</v>
      </c>
      <c r="Q14" s="88">
        <v>2</v>
      </c>
      <c r="R14" s="90">
        <v>120</v>
      </c>
      <c r="S14" s="88">
        <v>0</v>
      </c>
      <c r="T14" s="90"/>
      <c r="U14" s="90">
        <f t="shared" si="0"/>
        <v>240</v>
      </c>
      <c r="V14" s="90">
        <f t="shared" si="4"/>
        <v>240</v>
      </c>
      <c r="W14" s="90">
        <f t="shared" si="5"/>
        <v>240</v>
      </c>
      <c r="X14" s="39"/>
    </row>
    <row r="15" spans="1:24" ht="15">
      <c r="A15" s="97" t="s">
        <v>231</v>
      </c>
      <c r="B15" s="97" t="s">
        <v>229</v>
      </c>
      <c r="C15" s="97" t="s">
        <v>647</v>
      </c>
      <c r="D15" s="69">
        <v>377</v>
      </c>
      <c r="E15" s="97" t="s">
        <v>648</v>
      </c>
      <c r="F15" s="97" t="s">
        <v>644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261</v>
      </c>
      <c r="L15" s="47">
        <v>44658</v>
      </c>
      <c r="M15" s="47">
        <v>44659</v>
      </c>
      <c r="N15" s="90">
        <v>0</v>
      </c>
      <c r="O15" s="90">
        <v>0</v>
      </c>
      <c r="P15" s="90">
        <f t="shared" si="3"/>
        <v>0</v>
      </c>
      <c r="Q15" s="88">
        <v>2</v>
      </c>
      <c r="R15" s="90">
        <v>120</v>
      </c>
      <c r="S15" s="88">
        <v>0</v>
      </c>
      <c r="T15" s="90"/>
      <c r="U15" s="90">
        <f t="shared" si="0"/>
        <v>240</v>
      </c>
      <c r="V15" s="90">
        <f t="shared" si="4"/>
        <v>240</v>
      </c>
      <c r="W15" s="90">
        <f t="shared" si="5"/>
        <v>240</v>
      </c>
      <c r="X15" s="39"/>
    </row>
    <row r="16" spans="1:24" ht="15">
      <c r="A16" s="97" t="s">
        <v>231</v>
      </c>
      <c r="B16" s="97" t="s">
        <v>544</v>
      </c>
      <c r="C16" s="97" t="s">
        <v>545</v>
      </c>
      <c r="D16" s="69">
        <v>353</v>
      </c>
      <c r="E16" s="97" t="s">
        <v>547</v>
      </c>
      <c r="F16" s="97" t="s">
        <v>644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261</v>
      </c>
      <c r="L16" s="47">
        <v>44658</v>
      </c>
      <c r="M16" s="47">
        <v>44659</v>
      </c>
      <c r="N16" s="90">
        <v>0</v>
      </c>
      <c r="O16" s="90">
        <v>0</v>
      </c>
      <c r="P16" s="90">
        <f t="shared" si="3"/>
        <v>0</v>
      </c>
      <c r="Q16" s="88">
        <v>2</v>
      </c>
      <c r="R16" s="90">
        <v>120</v>
      </c>
      <c r="S16" s="88">
        <v>0</v>
      </c>
      <c r="T16" s="90"/>
      <c r="U16" s="90">
        <f t="shared" si="0"/>
        <v>240</v>
      </c>
      <c r="V16" s="90">
        <f t="shared" si="4"/>
        <v>240</v>
      </c>
      <c r="W16" s="90">
        <f t="shared" si="5"/>
        <v>240</v>
      </c>
      <c r="X16" s="39"/>
    </row>
    <row r="17" spans="1:24" ht="15">
      <c r="A17" s="97" t="s">
        <v>253</v>
      </c>
      <c r="B17" s="97" t="s">
        <v>253</v>
      </c>
      <c r="C17" s="97" t="s">
        <v>320</v>
      </c>
      <c r="D17" s="69" t="s">
        <v>629</v>
      </c>
      <c r="E17" s="97" t="s">
        <v>78</v>
      </c>
      <c r="F17" s="97" t="s">
        <v>644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261</v>
      </c>
      <c r="L17" s="47">
        <v>44658</v>
      </c>
      <c r="M17" s="47">
        <v>44659</v>
      </c>
      <c r="N17" s="90">
        <v>0</v>
      </c>
      <c r="O17" s="90">
        <v>0</v>
      </c>
      <c r="P17" s="90">
        <f t="shared" si="3"/>
        <v>0</v>
      </c>
      <c r="Q17" s="88">
        <v>2</v>
      </c>
      <c r="R17" s="90">
        <v>120</v>
      </c>
      <c r="S17" s="88">
        <v>0</v>
      </c>
      <c r="T17" s="90"/>
      <c r="U17" s="90">
        <f t="shared" si="0"/>
        <v>240</v>
      </c>
      <c r="V17" s="90">
        <f t="shared" si="4"/>
        <v>240</v>
      </c>
      <c r="W17" s="90">
        <f t="shared" si="5"/>
        <v>240</v>
      </c>
      <c r="X17" s="39"/>
    </row>
    <row r="18" spans="1:24" ht="15">
      <c r="A18" s="97" t="s">
        <v>253</v>
      </c>
      <c r="B18" s="97" t="s">
        <v>212</v>
      </c>
      <c r="C18" s="97" t="s">
        <v>270</v>
      </c>
      <c r="D18" s="69" t="s">
        <v>168</v>
      </c>
      <c r="E18" s="97" t="s">
        <v>599</v>
      </c>
      <c r="F18" s="97" t="s">
        <v>644</v>
      </c>
      <c r="G18" s="97" t="s">
        <v>36</v>
      </c>
      <c r="H18" s="97" t="s">
        <v>37</v>
      </c>
      <c r="I18" s="97" t="s">
        <v>38</v>
      </c>
      <c r="J18" s="97" t="s">
        <v>37</v>
      </c>
      <c r="K18" s="97" t="s">
        <v>261</v>
      </c>
      <c r="L18" s="47">
        <v>44658</v>
      </c>
      <c r="M18" s="47">
        <v>44659</v>
      </c>
      <c r="N18" s="90">
        <v>0</v>
      </c>
      <c r="O18" s="90">
        <v>0</v>
      </c>
      <c r="P18" s="90">
        <f t="shared" si="3"/>
        <v>0</v>
      </c>
      <c r="Q18" s="88">
        <v>2</v>
      </c>
      <c r="R18" s="90">
        <v>120</v>
      </c>
      <c r="S18" s="88">
        <v>0</v>
      </c>
      <c r="T18" s="90"/>
      <c r="U18" s="90">
        <f t="shared" si="0"/>
        <v>240</v>
      </c>
      <c r="V18" s="90">
        <f t="shared" si="4"/>
        <v>240</v>
      </c>
      <c r="W18" s="90">
        <f t="shared" si="5"/>
        <v>240</v>
      </c>
      <c r="X18" s="39"/>
    </row>
    <row r="19" spans="1:24" ht="15">
      <c r="A19" s="97" t="s">
        <v>253</v>
      </c>
      <c r="B19" s="97" t="s">
        <v>212</v>
      </c>
      <c r="C19" s="97" t="s">
        <v>41</v>
      </c>
      <c r="D19" s="69">
        <v>129</v>
      </c>
      <c r="E19" s="97" t="s">
        <v>649</v>
      </c>
      <c r="F19" s="97" t="s">
        <v>644</v>
      </c>
      <c r="G19" s="97" t="s">
        <v>36</v>
      </c>
      <c r="H19" s="97" t="s">
        <v>37</v>
      </c>
      <c r="I19" s="97" t="s">
        <v>38</v>
      </c>
      <c r="J19" s="97" t="s">
        <v>37</v>
      </c>
      <c r="K19" s="97" t="s">
        <v>261</v>
      </c>
      <c r="L19" s="47">
        <v>44658</v>
      </c>
      <c r="M19" s="47">
        <v>44659</v>
      </c>
      <c r="N19" s="90">
        <v>0</v>
      </c>
      <c r="O19" s="90">
        <v>0</v>
      </c>
      <c r="P19" s="90">
        <f t="shared" si="3"/>
        <v>0</v>
      </c>
      <c r="Q19" s="88">
        <v>2</v>
      </c>
      <c r="R19" s="90">
        <v>120</v>
      </c>
      <c r="S19" s="88">
        <v>0</v>
      </c>
      <c r="T19" s="90"/>
      <c r="U19" s="90">
        <f t="shared" si="0"/>
        <v>240</v>
      </c>
      <c r="V19" s="90">
        <f t="shared" si="4"/>
        <v>240</v>
      </c>
      <c r="W19" s="90">
        <f t="shared" si="5"/>
        <v>240</v>
      </c>
      <c r="X19" s="39"/>
    </row>
    <row r="20" spans="1:24" ht="15">
      <c r="A20" s="97" t="s">
        <v>371</v>
      </c>
      <c r="B20" s="97" t="s">
        <v>396</v>
      </c>
      <c r="C20" s="97" t="s">
        <v>267</v>
      </c>
      <c r="D20" s="69">
        <v>296</v>
      </c>
      <c r="E20" s="97" t="s">
        <v>650</v>
      </c>
      <c r="F20" s="97" t="s">
        <v>644</v>
      </c>
      <c r="G20" s="97" t="s">
        <v>36</v>
      </c>
      <c r="H20" s="97" t="s">
        <v>37</v>
      </c>
      <c r="I20" s="97" t="s">
        <v>38</v>
      </c>
      <c r="J20" s="97" t="s">
        <v>37</v>
      </c>
      <c r="K20" s="97" t="s">
        <v>261</v>
      </c>
      <c r="L20" s="47">
        <v>44658</v>
      </c>
      <c r="M20" s="47">
        <v>44659</v>
      </c>
      <c r="N20" s="90">
        <v>0</v>
      </c>
      <c r="O20" s="90">
        <v>0</v>
      </c>
      <c r="P20" s="90">
        <f t="shared" si="3"/>
        <v>0</v>
      </c>
      <c r="Q20" s="88">
        <v>2</v>
      </c>
      <c r="R20" s="90">
        <v>120</v>
      </c>
      <c r="S20" s="88">
        <v>0</v>
      </c>
      <c r="T20" s="90"/>
      <c r="U20" s="90">
        <f t="shared" si="0"/>
        <v>240</v>
      </c>
      <c r="V20" s="90">
        <f t="shared" si="4"/>
        <v>240</v>
      </c>
      <c r="W20" s="90">
        <f t="shared" si="5"/>
        <v>240</v>
      </c>
      <c r="X20" s="39"/>
    </row>
    <row r="21" spans="1:24" ht="15">
      <c r="A21" s="97" t="s">
        <v>371</v>
      </c>
      <c r="B21" s="97" t="s">
        <v>240</v>
      </c>
      <c r="C21" s="97" t="s">
        <v>140</v>
      </c>
      <c r="D21" s="69">
        <v>230</v>
      </c>
      <c r="E21" s="97" t="s">
        <v>142</v>
      </c>
      <c r="F21" s="97" t="s">
        <v>644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261</v>
      </c>
      <c r="L21" s="47">
        <v>44658</v>
      </c>
      <c r="M21" s="47">
        <v>44659</v>
      </c>
      <c r="N21" s="90">
        <v>0</v>
      </c>
      <c r="O21" s="90">
        <v>0</v>
      </c>
      <c r="P21" s="90">
        <f t="shared" si="3"/>
        <v>0</v>
      </c>
      <c r="Q21" s="88">
        <v>2</v>
      </c>
      <c r="R21" s="90">
        <v>120</v>
      </c>
      <c r="S21" s="88">
        <v>0</v>
      </c>
      <c r="T21" s="90"/>
      <c r="U21" s="90">
        <f t="shared" si="0"/>
        <v>240</v>
      </c>
      <c r="V21" s="90">
        <f t="shared" si="4"/>
        <v>240</v>
      </c>
      <c r="W21" s="90">
        <f t="shared" si="5"/>
        <v>240</v>
      </c>
      <c r="X21" s="39"/>
    </row>
    <row r="22" spans="1:24" ht="15">
      <c r="A22" s="97" t="s">
        <v>253</v>
      </c>
      <c r="B22" s="97" t="s">
        <v>259</v>
      </c>
      <c r="C22" s="97" t="s">
        <v>185</v>
      </c>
      <c r="D22" s="69" t="s">
        <v>186</v>
      </c>
      <c r="E22" s="97" t="s">
        <v>385</v>
      </c>
      <c r="F22" s="97" t="s">
        <v>644</v>
      </c>
      <c r="G22" s="97" t="s">
        <v>36</v>
      </c>
      <c r="H22" s="97" t="s">
        <v>37</v>
      </c>
      <c r="I22" s="97" t="s">
        <v>38</v>
      </c>
      <c r="J22" s="97" t="s">
        <v>37</v>
      </c>
      <c r="K22" s="97" t="s">
        <v>261</v>
      </c>
      <c r="L22" s="47">
        <v>44658</v>
      </c>
      <c r="M22" s="47">
        <v>44659</v>
      </c>
      <c r="N22" s="90">
        <v>0</v>
      </c>
      <c r="O22" s="90">
        <v>0</v>
      </c>
      <c r="P22" s="90">
        <f t="shared" si="3"/>
        <v>0</v>
      </c>
      <c r="Q22" s="88">
        <v>2</v>
      </c>
      <c r="R22" s="90">
        <v>120</v>
      </c>
      <c r="S22" s="88">
        <v>0</v>
      </c>
      <c r="T22" s="90"/>
      <c r="U22" s="90">
        <f t="shared" si="0"/>
        <v>240</v>
      </c>
      <c r="V22" s="90">
        <f t="shared" si="4"/>
        <v>240</v>
      </c>
      <c r="W22" s="90">
        <f t="shared" si="5"/>
        <v>240</v>
      </c>
      <c r="X22" s="39"/>
    </row>
    <row r="23" spans="1:24" ht="15">
      <c r="A23" s="97" t="s">
        <v>253</v>
      </c>
      <c r="B23" s="97" t="s">
        <v>322</v>
      </c>
      <c r="C23" s="97" t="s">
        <v>327</v>
      </c>
      <c r="D23" s="69">
        <v>87</v>
      </c>
      <c r="E23" s="97" t="s">
        <v>651</v>
      </c>
      <c r="F23" s="97" t="s">
        <v>644</v>
      </c>
      <c r="G23" s="97" t="s">
        <v>36</v>
      </c>
      <c r="H23" s="97" t="s">
        <v>37</v>
      </c>
      <c r="I23" s="97" t="s">
        <v>38</v>
      </c>
      <c r="J23" s="97" t="s">
        <v>37</v>
      </c>
      <c r="K23" s="97" t="s">
        <v>261</v>
      </c>
      <c r="L23" s="47">
        <v>44658</v>
      </c>
      <c r="M23" s="47">
        <v>44659</v>
      </c>
      <c r="N23" s="90">
        <v>0</v>
      </c>
      <c r="O23" s="90">
        <v>0</v>
      </c>
      <c r="P23" s="90">
        <f t="shared" si="3"/>
        <v>0</v>
      </c>
      <c r="Q23" s="88">
        <v>2</v>
      </c>
      <c r="R23" s="90">
        <v>120</v>
      </c>
      <c r="S23" s="88">
        <v>0</v>
      </c>
      <c r="T23" s="90"/>
      <c r="U23" s="90">
        <f t="shared" si="0"/>
        <v>240</v>
      </c>
      <c r="V23" s="90">
        <f t="shared" si="4"/>
        <v>240</v>
      </c>
      <c r="W23" s="90">
        <f t="shared" si="5"/>
        <v>240</v>
      </c>
      <c r="X23" s="39"/>
    </row>
    <row r="24" spans="1:24" ht="15">
      <c r="A24" s="97" t="s">
        <v>371</v>
      </c>
      <c r="B24" s="97" t="s">
        <v>371</v>
      </c>
      <c r="C24" s="97" t="s">
        <v>137</v>
      </c>
      <c r="D24" s="69">
        <v>202</v>
      </c>
      <c r="E24" s="97" t="s">
        <v>78</v>
      </c>
      <c r="F24" s="97" t="s">
        <v>644</v>
      </c>
      <c r="G24" s="97" t="s">
        <v>36</v>
      </c>
      <c r="H24" s="97" t="s">
        <v>37</v>
      </c>
      <c r="I24" s="97" t="s">
        <v>38</v>
      </c>
      <c r="J24" s="97" t="s">
        <v>37</v>
      </c>
      <c r="K24" s="97" t="s">
        <v>261</v>
      </c>
      <c r="L24" s="47">
        <v>44658</v>
      </c>
      <c r="M24" s="47">
        <v>44659</v>
      </c>
      <c r="N24" s="90">
        <v>0</v>
      </c>
      <c r="O24" s="90">
        <v>0</v>
      </c>
      <c r="P24" s="90">
        <f t="shared" si="3"/>
        <v>0</v>
      </c>
      <c r="Q24" s="88">
        <v>2</v>
      </c>
      <c r="R24" s="90">
        <v>120</v>
      </c>
      <c r="S24" s="88">
        <v>0</v>
      </c>
      <c r="T24" s="90"/>
      <c r="U24" s="90">
        <f t="shared" si="0"/>
        <v>240</v>
      </c>
      <c r="V24" s="90">
        <f t="shared" si="4"/>
        <v>240</v>
      </c>
      <c r="W24" s="90">
        <f t="shared" si="5"/>
        <v>240</v>
      </c>
      <c r="X24" s="39"/>
    </row>
    <row r="25" spans="1:24" ht="15">
      <c r="A25" s="97" t="s">
        <v>253</v>
      </c>
      <c r="B25" s="97" t="s">
        <v>322</v>
      </c>
      <c r="C25" s="97" t="s">
        <v>323</v>
      </c>
      <c r="D25" s="69">
        <v>204</v>
      </c>
      <c r="E25" s="97" t="s">
        <v>652</v>
      </c>
      <c r="F25" s="97" t="s">
        <v>644</v>
      </c>
      <c r="G25" s="97" t="s">
        <v>36</v>
      </c>
      <c r="H25" s="97" t="s">
        <v>37</v>
      </c>
      <c r="I25" s="97" t="s">
        <v>38</v>
      </c>
      <c r="J25" s="97" t="s">
        <v>37</v>
      </c>
      <c r="K25" s="97" t="s">
        <v>261</v>
      </c>
      <c r="L25" s="47">
        <v>44658</v>
      </c>
      <c r="M25" s="47">
        <v>44659</v>
      </c>
      <c r="N25" s="90">
        <v>0</v>
      </c>
      <c r="O25" s="90">
        <v>0</v>
      </c>
      <c r="P25" s="90">
        <f t="shared" si="3"/>
        <v>0</v>
      </c>
      <c r="Q25" s="88">
        <v>2</v>
      </c>
      <c r="R25" s="90">
        <v>120</v>
      </c>
      <c r="S25" s="88">
        <v>0</v>
      </c>
      <c r="T25" s="90"/>
      <c r="U25" s="90">
        <f t="shared" si="0"/>
        <v>240</v>
      </c>
      <c r="V25" s="90">
        <f t="shared" si="4"/>
        <v>240</v>
      </c>
      <c r="W25" s="90">
        <f t="shared" si="5"/>
        <v>240</v>
      </c>
      <c r="X25" s="39"/>
    </row>
    <row r="26" spans="1:24" ht="15">
      <c r="A26" s="97" t="s">
        <v>253</v>
      </c>
      <c r="B26" s="97" t="s">
        <v>259</v>
      </c>
      <c r="C26" s="97" t="s">
        <v>433</v>
      </c>
      <c r="D26" s="69">
        <v>264</v>
      </c>
      <c r="E26" s="97" t="s">
        <v>611</v>
      </c>
      <c r="F26" s="97" t="s">
        <v>644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261</v>
      </c>
      <c r="L26" s="47">
        <v>44658</v>
      </c>
      <c r="M26" s="47">
        <v>44659</v>
      </c>
      <c r="N26" s="90">
        <v>0</v>
      </c>
      <c r="O26" s="90">
        <v>0</v>
      </c>
      <c r="P26" s="90">
        <f t="shared" si="3"/>
        <v>0</v>
      </c>
      <c r="Q26" s="88">
        <v>2</v>
      </c>
      <c r="R26" s="90">
        <v>120</v>
      </c>
      <c r="S26" s="88">
        <v>0</v>
      </c>
      <c r="T26" s="90"/>
      <c r="U26" s="90">
        <f t="shared" si="0"/>
        <v>240</v>
      </c>
      <c r="V26" s="90">
        <f t="shared" si="4"/>
        <v>240</v>
      </c>
      <c r="W26" s="90">
        <f t="shared" si="5"/>
        <v>240</v>
      </c>
      <c r="X26" s="39"/>
    </row>
    <row r="27" spans="1:24" ht="15">
      <c r="A27" s="97" t="s">
        <v>231</v>
      </c>
      <c r="B27" s="97" t="s">
        <v>229</v>
      </c>
      <c r="C27" s="97" t="s">
        <v>653</v>
      </c>
      <c r="D27" s="69">
        <v>343</v>
      </c>
      <c r="E27" s="97" t="s">
        <v>645</v>
      </c>
      <c r="F27" s="97" t="s">
        <v>644</v>
      </c>
      <c r="G27" s="97" t="s">
        <v>36</v>
      </c>
      <c r="H27" s="97" t="s">
        <v>37</v>
      </c>
      <c r="I27" s="97" t="s">
        <v>38</v>
      </c>
      <c r="J27" s="97" t="s">
        <v>37</v>
      </c>
      <c r="K27" s="97" t="s">
        <v>261</v>
      </c>
      <c r="L27" s="47">
        <v>44658</v>
      </c>
      <c r="M27" s="47">
        <v>44659</v>
      </c>
      <c r="N27" s="90">
        <v>0</v>
      </c>
      <c r="O27" s="90">
        <v>0</v>
      </c>
      <c r="P27" s="90">
        <f t="shared" si="3"/>
        <v>0</v>
      </c>
      <c r="Q27" s="88">
        <v>2</v>
      </c>
      <c r="R27" s="90">
        <v>120</v>
      </c>
      <c r="S27" s="88">
        <v>0</v>
      </c>
      <c r="T27" s="90"/>
      <c r="U27" s="90">
        <f t="shared" si="0"/>
        <v>240</v>
      </c>
      <c r="V27" s="90">
        <f t="shared" si="4"/>
        <v>240</v>
      </c>
      <c r="W27" s="90">
        <f t="shared" si="5"/>
        <v>240</v>
      </c>
      <c r="X27" s="39"/>
    </row>
    <row r="28" spans="1:24" ht="15">
      <c r="A28" s="97" t="s">
        <v>231</v>
      </c>
      <c r="B28" s="97" t="s">
        <v>305</v>
      </c>
      <c r="C28" s="97" t="s">
        <v>615</v>
      </c>
      <c r="D28" s="69">
        <v>366</v>
      </c>
      <c r="E28" s="97" t="s">
        <v>616</v>
      </c>
      <c r="F28" s="97" t="s">
        <v>644</v>
      </c>
      <c r="G28" s="97" t="s">
        <v>36</v>
      </c>
      <c r="H28" s="97" t="s">
        <v>37</v>
      </c>
      <c r="I28" s="97" t="s">
        <v>38</v>
      </c>
      <c r="J28" s="97" t="s">
        <v>37</v>
      </c>
      <c r="K28" s="97" t="s">
        <v>261</v>
      </c>
      <c r="L28" s="47">
        <v>44658</v>
      </c>
      <c r="M28" s="47">
        <v>44659</v>
      </c>
      <c r="N28" s="90">
        <v>0</v>
      </c>
      <c r="O28" s="90">
        <v>0</v>
      </c>
      <c r="P28" s="90">
        <f t="shared" si="3"/>
        <v>0</v>
      </c>
      <c r="Q28" s="88">
        <v>2</v>
      </c>
      <c r="R28" s="90">
        <v>120</v>
      </c>
      <c r="S28" s="88">
        <v>0</v>
      </c>
      <c r="T28" s="90"/>
      <c r="U28" s="90">
        <f t="shared" si="0"/>
        <v>240</v>
      </c>
      <c r="V28" s="90">
        <f t="shared" si="4"/>
        <v>240</v>
      </c>
      <c r="W28" s="90">
        <f t="shared" si="5"/>
        <v>240</v>
      </c>
      <c r="X28" s="39"/>
    </row>
    <row r="29" spans="1:24" ht="15">
      <c r="A29" s="97" t="s">
        <v>253</v>
      </c>
      <c r="B29" s="97" t="s">
        <v>234</v>
      </c>
      <c r="C29" s="97" t="s">
        <v>620</v>
      </c>
      <c r="D29" s="69">
        <v>365</v>
      </c>
      <c r="E29" s="97" t="s">
        <v>239</v>
      </c>
      <c r="F29" s="97" t="s">
        <v>644</v>
      </c>
      <c r="G29" s="97" t="s">
        <v>36</v>
      </c>
      <c r="H29" s="97" t="s">
        <v>37</v>
      </c>
      <c r="I29" s="97" t="s">
        <v>38</v>
      </c>
      <c r="J29" s="97" t="s">
        <v>37</v>
      </c>
      <c r="K29" s="97" t="s">
        <v>261</v>
      </c>
      <c r="L29" s="47">
        <v>44658</v>
      </c>
      <c r="M29" s="47">
        <v>44659</v>
      </c>
      <c r="N29" s="90">
        <v>0</v>
      </c>
      <c r="O29" s="90">
        <v>0</v>
      </c>
      <c r="P29" s="90">
        <f t="shared" si="3"/>
        <v>0</v>
      </c>
      <c r="Q29" s="88">
        <v>2</v>
      </c>
      <c r="R29" s="90">
        <v>120</v>
      </c>
      <c r="S29" s="88">
        <v>0</v>
      </c>
      <c r="T29" s="90"/>
      <c r="U29" s="90">
        <f t="shared" si="0"/>
        <v>240</v>
      </c>
      <c r="V29" s="90">
        <f t="shared" si="4"/>
        <v>240</v>
      </c>
      <c r="W29" s="90">
        <f t="shared" si="5"/>
        <v>240</v>
      </c>
      <c r="X29" s="39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253</v>
      </c>
      <c r="C5" s="97" t="s">
        <v>320</v>
      </c>
      <c r="D5" s="69" t="s">
        <v>629</v>
      </c>
      <c r="E5" s="97" t="s">
        <v>78</v>
      </c>
      <c r="F5" s="97" t="s">
        <v>654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47">
        <v>44692</v>
      </c>
      <c r="M5" s="47">
        <v>44692</v>
      </c>
      <c r="N5" s="61">
        <v>1254.69</v>
      </c>
      <c r="O5" s="61">
        <v>2229.5500000000002</v>
      </c>
      <c r="P5" s="90">
        <f>SUM(N5:O5)</f>
        <v>3484.2400000000002</v>
      </c>
      <c r="Q5" s="88">
        <v>1</v>
      </c>
      <c r="R5" s="90">
        <v>120</v>
      </c>
      <c r="S5" s="88">
        <v>0</v>
      </c>
      <c r="T5" s="90">
        <v>0</v>
      </c>
      <c r="U5" s="90">
        <f t="shared" ref="U5:U11" si="0">(Q5*R5)+(S5*T5)</f>
        <v>120</v>
      </c>
      <c r="V5" s="90">
        <f t="shared" ref="V5:V11" si="1">U5+P5</f>
        <v>3604.2400000000002</v>
      </c>
      <c r="W5" s="90">
        <f t="shared" ref="W5:W11" si="2">V5</f>
        <v>3604.2400000000002</v>
      </c>
      <c r="X5" s="88"/>
    </row>
    <row r="6" spans="1:24" ht="30">
      <c r="A6" s="97" t="s">
        <v>595</v>
      </c>
      <c r="B6" s="97" t="s">
        <v>305</v>
      </c>
      <c r="C6" s="97" t="s">
        <v>612</v>
      </c>
      <c r="D6" s="69">
        <v>355</v>
      </c>
      <c r="E6" s="97" t="s">
        <v>308</v>
      </c>
      <c r="F6" s="98" t="s">
        <v>655</v>
      </c>
      <c r="G6" s="97" t="s">
        <v>36</v>
      </c>
      <c r="H6" s="97" t="s">
        <v>37</v>
      </c>
      <c r="I6" s="97" t="s">
        <v>38</v>
      </c>
      <c r="J6" s="97" t="s">
        <v>127</v>
      </c>
      <c r="K6" s="97" t="s">
        <v>63</v>
      </c>
      <c r="L6" s="47">
        <v>44692</v>
      </c>
      <c r="M6" s="47">
        <v>44696</v>
      </c>
      <c r="N6" s="90">
        <f>1500/2</f>
        <v>750</v>
      </c>
      <c r="O6" s="90">
        <f>1500/2</f>
        <v>750</v>
      </c>
      <c r="P6" s="90">
        <f>SUM(N6:O6)</f>
        <v>1500</v>
      </c>
      <c r="Q6" s="88">
        <v>3</v>
      </c>
      <c r="R6" s="90">
        <v>120</v>
      </c>
      <c r="S6" s="88">
        <v>0</v>
      </c>
      <c r="T6" s="90">
        <v>0</v>
      </c>
      <c r="U6" s="90">
        <f t="shared" si="0"/>
        <v>360</v>
      </c>
      <c r="V6" s="90">
        <f t="shared" si="1"/>
        <v>1860</v>
      </c>
      <c r="W6" s="90">
        <f t="shared" si="2"/>
        <v>1860</v>
      </c>
      <c r="X6" s="88"/>
    </row>
    <row r="7" spans="1:24" ht="15">
      <c r="A7" s="97" t="s">
        <v>253</v>
      </c>
      <c r="B7" s="97" t="s">
        <v>212</v>
      </c>
      <c r="C7" s="97" t="s">
        <v>270</v>
      </c>
      <c r="D7" s="69" t="s">
        <v>168</v>
      </c>
      <c r="E7" s="97" t="s">
        <v>599</v>
      </c>
      <c r="F7" s="97" t="s">
        <v>656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47">
        <v>44706</v>
      </c>
      <c r="M7" s="47">
        <v>44707</v>
      </c>
      <c r="N7" s="90">
        <v>2980.9</v>
      </c>
      <c r="O7" s="90">
        <v>1405</v>
      </c>
      <c r="P7" s="90">
        <f t="shared" ref="P7:P11" si="3">SUM(N7:O7)</f>
        <v>4385.8999999999996</v>
      </c>
      <c r="Q7" s="88">
        <v>2</v>
      </c>
      <c r="R7" s="90">
        <v>120</v>
      </c>
      <c r="S7" s="88">
        <v>0</v>
      </c>
      <c r="T7" s="90">
        <v>0</v>
      </c>
      <c r="U7" s="90">
        <f t="shared" si="0"/>
        <v>240</v>
      </c>
      <c r="V7" s="90">
        <f t="shared" si="1"/>
        <v>4625.8999999999996</v>
      </c>
      <c r="W7" s="90">
        <f t="shared" si="2"/>
        <v>4625.8999999999996</v>
      </c>
      <c r="X7" s="88"/>
    </row>
    <row r="8" spans="1:24" ht="15">
      <c r="A8" s="97" t="s">
        <v>231</v>
      </c>
      <c r="B8" s="97" t="s">
        <v>221</v>
      </c>
      <c r="C8" s="97" t="s">
        <v>54</v>
      </c>
      <c r="D8" s="69">
        <v>56</v>
      </c>
      <c r="E8" s="97" t="s">
        <v>610</v>
      </c>
      <c r="F8" s="97" t="s">
        <v>657</v>
      </c>
      <c r="G8" s="97" t="s">
        <v>36</v>
      </c>
      <c r="H8" s="97" t="s">
        <v>37</v>
      </c>
      <c r="I8" s="97" t="s">
        <v>38</v>
      </c>
      <c r="J8" s="97" t="s">
        <v>127</v>
      </c>
      <c r="K8" s="97" t="s">
        <v>63</v>
      </c>
      <c r="L8" s="47">
        <v>44692</v>
      </c>
      <c r="M8" s="47">
        <v>44694</v>
      </c>
      <c r="N8" s="90">
        <f>900/2</f>
        <v>450</v>
      </c>
      <c r="O8" s="90">
        <f>900/2</f>
        <v>450</v>
      </c>
      <c r="P8" s="90">
        <f t="shared" si="3"/>
        <v>900</v>
      </c>
      <c r="Q8" s="88">
        <v>3</v>
      </c>
      <c r="R8" s="90">
        <v>120</v>
      </c>
      <c r="S8" s="88">
        <v>0</v>
      </c>
      <c r="T8" s="90">
        <v>0</v>
      </c>
      <c r="U8" s="90">
        <f t="shared" si="0"/>
        <v>360</v>
      </c>
      <c r="V8" s="90">
        <f t="shared" si="1"/>
        <v>1260</v>
      </c>
      <c r="W8" s="90">
        <f t="shared" si="2"/>
        <v>1260</v>
      </c>
      <c r="X8" s="39"/>
    </row>
    <row r="9" spans="1:24" ht="15">
      <c r="A9" s="97" t="s">
        <v>253</v>
      </c>
      <c r="B9" s="97" t="s">
        <v>322</v>
      </c>
      <c r="C9" s="97" t="s">
        <v>327</v>
      </c>
      <c r="D9" s="69">
        <v>87</v>
      </c>
      <c r="E9" s="97" t="s">
        <v>651</v>
      </c>
      <c r="F9" s="97" t="s">
        <v>654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47">
        <v>44692</v>
      </c>
      <c r="M9" s="47">
        <v>44692</v>
      </c>
      <c r="N9" s="90">
        <v>1254.69</v>
      </c>
      <c r="O9" s="90">
        <v>2229.5500000000002</v>
      </c>
      <c r="P9" s="90">
        <f t="shared" si="3"/>
        <v>3484.2400000000002</v>
      </c>
      <c r="Q9" s="88">
        <v>2</v>
      </c>
      <c r="R9" s="90">
        <v>240</v>
      </c>
      <c r="S9" s="88">
        <v>0</v>
      </c>
      <c r="T9" s="90">
        <v>0</v>
      </c>
      <c r="U9" s="90">
        <f t="shared" si="0"/>
        <v>480</v>
      </c>
      <c r="V9" s="90">
        <f t="shared" si="1"/>
        <v>3964.2400000000002</v>
      </c>
      <c r="W9" s="90">
        <f t="shared" si="2"/>
        <v>3964.2400000000002</v>
      </c>
      <c r="X9" s="39"/>
    </row>
    <row r="10" spans="1:24" ht="30">
      <c r="A10" s="97" t="s">
        <v>231</v>
      </c>
      <c r="B10" s="97" t="s">
        <v>231</v>
      </c>
      <c r="C10" s="97" t="s">
        <v>412</v>
      </c>
      <c r="D10" s="69">
        <v>0</v>
      </c>
      <c r="E10" s="97" t="s">
        <v>562</v>
      </c>
      <c r="F10" s="98" t="s">
        <v>655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47">
        <v>44692</v>
      </c>
      <c r="M10" s="47">
        <v>44696</v>
      </c>
      <c r="N10" s="90">
        <v>3241.6</v>
      </c>
      <c r="O10" s="90">
        <v>1879.42</v>
      </c>
      <c r="P10" s="90">
        <f t="shared" si="3"/>
        <v>5121.0200000000004</v>
      </c>
      <c r="Q10" s="88">
        <v>0</v>
      </c>
      <c r="R10" s="90">
        <v>0</v>
      </c>
      <c r="S10" s="88">
        <v>0</v>
      </c>
      <c r="T10" s="90">
        <v>0</v>
      </c>
      <c r="U10" s="90">
        <f t="shared" si="0"/>
        <v>0</v>
      </c>
      <c r="V10" s="90">
        <f t="shared" si="1"/>
        <v>5121.0200000000004</v>
      </c>
      <c r="W10" s="90">
        <f t="shared" si="2"/>
        <v>5121.0200000000004</v>
      </c>
      <c r="X10" s="39"/>
    </row>
    <row r="11" spans="1:24" ht="30">
      <c r="A11" s="97" t="s">
        <v>231</v>
      </c>
      <c r="B11" s="97" t="s">
        <v>658</v>
      </c>
      <c r="C11" s="97" t="s">
        <v>451</v>
      </c>
      <c r="D11" s="69">
        <v>0</v>
      </c>
      <c r="E11" s="97"/>
      <c r="F11" s="98" t="s">
        <v>655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47">
        <v>44692</v>
      </c>
      <c r="M11" s="47">
        <v>44696</v>
      </c>
      <c r="N11" s="90">
        <v>3241.6</v>
      </c>
      <c r="O11" s="90">
        <v>1879.42</v>
      </c>
      <c r="P11" s="90">
        <f t="shared" si="3"/>
        <v>5121.0200000000004</v>
      </c>
      <c r="Q11" s="88">
        <v>0</v>
      </c>
      <c r="R11" s="90">
        <v>0</v>
      </c>
      <c r="S11" s="88">
        <v>0</v>
      </c>
      <c r="T11" s="90">
        <v>0</v>
      </c>
      <c r="U11" s="90">
        <f t="shared" si="0"/>
        <v>0</v>
      </c>
      <c r="V11" s="90">
        <f t="shared" si="1"/>
        <v>5121.0200000000004</v>
      </c>
      <c r="W11" s="90">
        <f t="shared" si="2"/>
        <v>5121.0200000000004</v>
      </c>
      <c r="X11" s="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ht="15">
      <c r="A5" s="97" t="s">
        <v>253</v>
      </c>
      <c r="B5" s="97" t="s">
        <v>322</v>
      </c>
      <c r="C5" s="97" t="s">
        <v>327</v>
      </c>
      <c r="D5" s="69">
        <v>87</v>
      </c>
      <c r="E5" s="97" t="s">
        <v>651</v>
      </c>
      <c r="F5" s="97" t="s">
        <v>659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47">
        <v>44741</v>
      </c>
      <c r="M5" s="47">
        <v>44742</v>
      </c>
      <c r="N5" s="90">
        <f>1623.42/2</f>
        <v>811.71</v>
      </c>
      <c r="O5" s="90">
        <f>1623.42/2</f>
        <v>811.71</v>
      </c>
      <c r="P5" s="90">
        <f>SUM(N5:O5)</f>
        <v>1623.42</v>
      </c>
      <c r="Q5" s="88">
        <v>2</v>
      </c>
      <c r="R5" s="90">
        <v>120</v>
      </c>
      <c r="S5" s="88">
        <v>0</v>
      </c>
      <c r="T5" s="90">
        <v>0</v>
      </c>
      <c r="U5" s="90">
        <f t="shared" ref="U5:U6" si="0">(Q5*R5)+(S5*T5)</f>
        <v>240</v>
      </c>
      <c r="V5" s="90">
        <f t="shared" ref="V5:V6" si="1">U5+P5</f>
        <v>1863.42</v>
      </c>
      <c r="W5" s="90">
        <f t="shared" ref="W5:W6" si="2">V5</f>
        <v>1863.42</v>
      </c>
      <c r="X5" s="88"/>
    </row>
    <row r="6" spans="1:24" ht="15">
      <c r="A6" s="97" t="s">
        <v>253</v>
      </c>
      <c r="B6" s="97" t="s">
        <v>253</v>
      </c>
      <c r="C6" s="97" t="s">
        <v>320</v>
      </c>
      <c r="D6" s="69" t="s">
        <v>629</v>
      </c>
      <c r="E6" s="97" t="s">
        <v>78</v>
      </c>
      <c r="F6" s="98" t="s">
        <v>660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47">
        <v>44741</v>
      </c>
      <c r="M6" s="47">
        <v>44743</v>
      </c>
      <c r="N6" s="90">
        <f>1881.08/2</f>
        <v>940.54</v>
      </c>
      <c r="O6" s="90">
        <f>1881.08/2</f>
        <v>940.54</v>
      </c>
      <c r="P6" s="90">
        <f>SUM(N6:O6)</f>
        <v>1881.08</v>
      </c>
      <c r="Q6" s="88">
        <v>3</v>
      </c>
      <c r="R6" s="90">
        <v>120</v>
      </c>
      <c r="S6" s="88">
        <v>0</v>
      </c>
      <c r="T6" s="90">
        <v>0</v>
      </c>
      <c r="U6" s="90">
        <f t="shared" si="0"/>
        <v>360</v>
      </c>
      <c r="V6" s="90">
        <f t="shared" si="1"/>
        <v>2241.08</v>
      </c>
      <c r="W6" s="90">
        <f t="shared" si="2"/>
        <v>2241.08</v>
      </c>
      <c r="X6" s="8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231</v>
      </c>
      <c r="B5" s="97" t="s">
        <v>221</v>
      </c>
      <c r="C5" s="97" t="s">
        <v>277</v>
      </c>
      <c r="D5" s="93">
        <v>157</v>
      </c>
      <c r="E5" s="93" t="s">
        <v>663</v>
      </c>
      <c r="F5" s="93" t="s">
        <v>664</v>
      </c>
      <c r="G5" s="97" t="s">
        <v>36</v>
      </c>
      <c r="H5" s="97" t="s">
        <v>37</v>
      </c>
      <c r="I5" s="97" t="s">
        <v>38</v>
      </c>
      <c r="J5" s="97" t="s">
        <v>373</v>
      </c>
      <c r="K5" s="97" t="s">
        <v>374</v>
      </c>
      <c r="L5" s="62">
        <v>44770</v>
      </c>
      <c r="M5" s="62">
        <v>44771</v>
      </c>
      <c r="N5" s="93">
        <f>1417.14/2</f>
        <v>708.57</v>
      </c>
      <c r="O5" s="93">
        <f>1417.14/2</f>
        <v>708.57</v>
      </c>
      <c r="P5" s="90">
        <f>SUM(N5:O5)</f>
        <v>1417.14</v>
      </c>
      <c r="Q5" s="93">
        <v>4</v>
      </c>
      <c r="R5" s="63">
        <v>120</v>
      </c>
      <c r="S5" s="93">
        <v>0</v>
      </c>
      <c r="T5" s="63">
        <v>0</v>
      </c>
      <c r="U5" s="90">
        <f t="shared" ref="U5" si="0">(Q5*R5)+(S5*T5)</f>
        <v>480</v>
      </c>
      <c r="V5" s="90">
        <f>U5+P5</f>
        <v>1897.14</v>
      </c>
      <c r="W5" s="90">
        <f>V5</f>
        <v>1897.14</v>
      </c>
      <c r="X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595</v>
      </c>
      <c r="B5" s="97" t="s">
        <v>305</v>
      </c>
      <c r="C5" s="97" t="s">
        <v>612</v>
      </c>
      <c r="D5" s="69">
        <v>355</v>
      </c>
      <c r="E5" s="97" t="s">
        <v>308</v>
      </c>
      <c r="F5" s="93" t="s">
        <v>665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62">
        <v>44783</v>
      </c>
      <c r="M5" s="62">
        <v>44786</v>
      </c>
      <c r="N5" s="93">
        <f>938.66/2</f>
        <v>469.33</v>
      </c>
      <c r="O5" s="93">
        <f>938.66/2</f>
        <v>469.33</v>
      </c>
      <c r="P5" s="90">
        <f>SUM(N5:O5)</f>
        <v>938.66</v>
      </c>
      <c r="Q5" s="93">
        <v>4</v>
      </c>
      <c r="R5" s="63">
        <v>120</v>
      </c>
      <c r="S5" s="93">
        <v>0</v>
      </c>
      <c r="T5" s="63">
        <v>0</v>
      </c>
      <c r="U5" s="90">
        <f>Q5*R5+S5*T5</f>
        <v>480</v>
      </c>
      <c r="V5" s="90">
        <f>P5+U5</f>
        <v>1418.6599999999999</v>
      </c>
      <c r="W5" s="90">
        <f>V5</f>
        <v>1418.6599999999999</v>
      </c>
      <c r="X5" s="93"/>
    </row>
    <row r="6" spans="1:24" s="64" customFormat="1" ht="15">
      <c r="A6" s="97" t="s">
        <v>595</v>
      </c>
      <c r="B6" s="97" t="s">
        <v>595</v>
      </c>
      <c r="C6" s="97" t="s">
        <v>412</v>
      </c>
      <c r="D6" s="69">
        <v>0</v>
      </c>
      <c r="E6" s="97" t="s">
        <v>562</v>
      </c>
      <c r="F6" s="93" t="s">
        <v>665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117</v>
      </c>
      <c r="L6" s="62">
        <v>44783</v>
      </c>
      <c r="M6" s="62">
        <v>44786</v>
      </c>
      <c r="N6" s="93">
        <f>938.66/2</f>
        <v>469.33</v>
      </c>
      <c r="O6" s="93">
        <f>938.66/2</f>
        <v>469.33</v>
      </c>
      <c r="P6" s="90">
        <f t="shared" ref="P6:P11" si="0">SUM(N6:O6)</f>
        <v>938.66</v>
      </c>
      <c r="Q6" s="93">
        <v>0</v>
      </c>
      <c r="R6" s="63">
        <v>0</v>
      </c>
      <c r="S6" s="93">
        <v>0</v>
      </c>
      <c r="T6" s="63">
        <v>0</v>
      </c>
      <c r="U6" s="90">
        <f t="shared" ref="U6:U12" si="1">Q6*R6+S6*T6</f>
        <v>0</v>
      </c>
      <c r="V6" s="90">
        <f t="shared" ref="V6:V12" si="2">P6+U6</f>
        <v>938.66</v>
      </c>
      <c r="W6" s="90">
        <f t="shared" ref="W6:W12" si="3">V6</f>
        <v>938.66</v>
      </c>
      <c r="X6" s="93"/>
    </row>
    <row r="7" spans="1:24" s="64" customFormat="1" ht="15">
      <c r="A7" s="97" t="s">
        <v>371</v>
      </c>
      <c r="B7" s="97" t="s">
        <v>240</v>
      </c>
      <c r="C7" s="97" t="s">
        <v>140</v>
      </c>
      <c r="D7" s="69">
        <v>230</v>
      </c>
      <c r="E7" s="97" t="s">
        <v>142</v>
      </c>
      <c r="F7" s="93" t="s">
        <v>666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62">
        <v>44780</v>
      </c>
      <c r="M7" s="62">
        <v>44782</v>
      </c>
      <c r="N7" s="93">
        <f>1453.97/2</f>
        <v>726.98500000000001</v>
      </c>
      <c r="O7" s="93">
        <f>1453.97/2</f>
        <v>726.98500000000001</v>
      </c>
      <c r="P7" s="90">
        <f t="shared" si="0"/>
        <v>1453.97</v>
      </c>
      <c r="Q7" s="93">
        <v>7</v>
      </c>
      <c r="R7" s="63">
        <v>120</v>
      </c>
      <c r="S7" s="93">
        <v>0</v>
      </c>
      <c r="T7" s="63">
        <v>0</v>
      </c>
      <c r="U7" s="90">
        <f t="shared" si="1"/>
        <v>840</v>
      </c>
      <c r="V7" s="90">
        <f t="shared" si="2"/>
        <v>2293.9700000000003</v>
      </c>
      <c r="W7" s="90">
        <f t="shared" si="3"/>
        <v>2293.9700000000003</v>
      </c>
      <c r="X7" s="93"/>
    </row>
    <row r="8" spans="1:24" s="64" customFormat="1" ht="28.5">
      <c r="A8" s="97" t="s">
        <v>253</v>
      </c>
      <c r="B8" s="97" t="s">
        <v>288</v>
      </c>
      <c r="C8" s="97" t="s">
        <v>345</v>
      </c>
      <c r="D8" s="69">
        <v>74</v>
      </c>
      <c r="E8" s="97" t="s">
        <v>535</v>
      </c>
      <c r="F8" s="65" t="s">
        <v>667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2">
        <v>44778</v>
      </c>
      <c r="M8" s="62">
        <v>44796</v>
      </c>
      <c r="N8" s="93">
        <f>1468.46/2</f>
        <v>734.23</v>
      </c>
      <c r="O8" s="93">
        <f>1468.46/2</f>
        <v>734.23</v>
      </c>
      <c r="P8" s="90">
        <f t="shared" si="0"/>
        <v>1468.46</v>
      </c>
      <c r="Q8" s="93">
        <v>19</v>
      </c>
      <c r="R8" s="63">
        <v>120</v>
      </c>
      <c r="S8" s="93">
        <v>0</v>
      </c>
      <c r="T8" s="63">
        <v>0</v>
      </c>
      <c r="U8" s="90">
        <f t="shared" si="1"/>
        <v>2280</v>
      </c>
      <c r="V8" s="90">
        <f t="shared" si="2"/>
        <v>3748.46</v>
      </c>
      <c r="W8" s="90">
        <f t="shared" si="3"/>
        <v>3748.46</v>
      </c>
      <c r="X8" s="93"/>
    </row>
    <row r="9" spans="1:24" s="64" customFormat="1" ht="15">
      <c r="A9" s="97" t="s">
        <v>253</v>
      </c>
      <c r="B9" s="97" t="s">
        <v>253</v>
      </c>
      <c r="C9" s="97" t="s">
        <v>387</v>
      </c>
      <c r="D9" s="69">
        <v>0</v>
      </c>
      <c r="E9" s="97" t="s">
        <v>78</v>
      </c>
      <c r="F9" s="93" t="s">
        <v>665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62">
        <v>44783</v>
      </c>
      <c r="M9" s="62">
        <v>44785</v>
      </c>
      <c r="N9" s="93">
        <f>1281.31/2</f>
        <v>640.65499999999997</v>
      </c>
      <c r="O9" s="93">
        <f>1281.31/2</f>
        <v>640.65499999999997</v>
      </c>
      <c r="P9" s="90">
        <f t="shared" si="0"/>
        <v>1281.31</v>
      </c>
      <c r="Q9" s="93">
        <v>0</v>
      </c>
      <c r="R9" s="63">
        <v>0</v>
      </c>
      <c r="S9" s="93">
        <v>0</v>
      </c>
      <c r="T9" s="63">
        <v>0</v>
      </c>
      <c r="U9" s="90">
        <f t="shared" si="1"/>
        <v>0</v>
      </c>
      <c r="V9" s="90">
        <f t="shared" si="2"/>
        <v>1281.31</v>
      </c>
      <c r="W9" s="90">
        <f t="shared" si="3"/>
        <v>1281.31</v>
      </c>
      <c r="X9" s="93"/>
    </row>
    <row r="10" spans="1:24" s="64" customFormat="1" ht="15">
      <c r="A10" s="97" t="s">
        <v>595</v>
      </c>
      <c r="B10" s="97" t="s">
        <v>221</v>
      </c>
      <c r="C10" s="97" t="s">
        <v>54</v>
      </c>
      <c r="D10" s="69">
        <v>56</v>
      </c>
      <c r="E10" s="97" t="s">
        <v>610</v>
      </c>
      <c r="F10" s="93" t="s">
        <v>665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62">
        <v>44783</v>
      </c>
      <c r="M10" s="62">
        <v>44785</v>
      </c>
      <c r="N10" s="93">
        <f>1494.92/2</f>
        <v>747.46</v>
      </c>
      <c r="O10" s="93">
        <f>1494.92/2</f>
        <v>747.46</v>
      </c>
      <c r="P10" s="90">
        <f t="shared" si="0"/>
        <v>1494.92</v>
      </c>
      <c r="Q10" s="93">
        <v>3</v>
      </c>
      <c r="R10" s="63">
        <v>120</v>
      </c>
      <c r="S10" s="93"/>
      <c r="T10" s="63"/>
      <c r="U10" s="90">
        <f t="shared" si="1"/>
        <v>360</v>
      </c>
      <c r="V10" s="90">
        <f t="shared" si="2"/>
        <v>1854.92</v>
      </c>
      <c r="W10" s="90">
        <f t="shared" si="3"/>
        <v>1854.92</v>
      </c>
      <c r="X10" s="93"/>
    </row>
    <row r="11" spans="1:24" s="64" customFormat="1" ht="15">
      <c r="A11" s="97" t="s">
        <v>595</v>
      </c>
      <c r="B11" s="97" t="s">
        <v>462</v>
      </c>
      <c r="C11" s="97" t="s">
        <v>401</v>
      </c>
      <c r="D11" s="69">
        <v>349</v>
      </c>
      <c r="E11" s="97" t="s">
        <v>403</v>
      </c>
      <c r="F11" s="93" t="s">
        <v>668</v>
      </c>
      <c r="G11" s="97" t="s">
        <v>36</v>
      </c>
      <c r="H11" s="97" t="s">
        <v>37</v>
      </c>
      <c r="I11" s="97" t="s">
        <v>38</v>
      </c>
      <c r="J11" s="97" t="s">
        <v>199</v>
      </c>
      <c r="K11" s="97" t="s">
        <v>669</v>
      </c>
      <c r="L11" s="62">
        <v>44794</v>
      </c>
      <c r="M11" s="62">
        <v>44798</v>
      </c>
      <c r="N11" s="93">
        <f>4132.8/2</f>
        <v>2066.4</v>
      </c>
      <c r="O11" s="93">
        <f>4132.8/2</f>
        <v>2066.4</v>
      </c>
      <c r="P11" s="90">
        <f t="shared" si="0"/>
        <v>4132.8</v>
      </c>
      <c r="Q11" s="93">
        <v>5</v>
      </c>
      <c r="R11" s="63">
        <v>120</v>
      </c>
      <c r="S11" s="93">
        <v>0</v>
      </c>
      <c r="T11" s="63">
        <v>0</v>
      </c>
      <c r="U11" s="90">
        <f t="shared" si="1"/>
        <v>600</v>
      </c>
      <c r="V11" s="90">
        <f t="shared" si="2"/>
        <v>4732.8</v>
      </c>
      <c r="W11" s="90">
        <f t="shared" si="3"/>
        <v>4732.8</v>
      </c>
      <c r="X11" s="93"/>
    </row>
    <row r="12" spans="1:24" s="64" customFormat="1" ht="15">
      <c r="A12" s="97" t="s">
        <v>371</v>
      </c>
      <c r="B12" s="97" t="s">
        <v>371</v>
      </c>
      <c r="C12" s="97" t="s">
        <v>79</v>
      </c>
      <c r="D12" s="69">
        <v>0</v>
      </c>
      <c r="E12" s="97" t="s">
        <v>80</v>
      </c>
      <c r="F12" s="93" t="s">
        <v>666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62">
        <v>44781</v>
      </c>
      <c r="M12" s="62">
        <v>44782</v>
      </c>
      <c r="N12" s="93">
        <f>(1670.82+834.23)/2</f>
        <v>1252.5250000000001</v>
      </c>
      <c r="O12" s="93">
        <f>(1670.82+834.23)/2</f>
        <v>1252.5250000000001</v>
      </c>
      <c r="P12" s="90">
        <f>SUM(N12:O12)</f>
        <v>2505.0500000000002</v>
      </c>
      <c r="Q12" s="93">
        <v>0</v>
      </c>
      <c r="R12" s="63">
        <v>0</v>
      </c>
      <c r="S12" s="93">
        <v>0</v>
      </c>
      <c r="T12" s="63">
        <v>0</v>
      </c>
      <c r="U12" s="90">
        <f t="shared" si="1"/>
        <v>0</v>
      </c>
      <c r="V12" s="90">
        <f t="shared" si="2"/>
        <v>2505.0500000000002</v>
      </c>
      <c r="W12" s="90">
        <f t="shared" si="3"/>
        <v>2505.0500000000002</v>
      </c>
      <c r="X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38.25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371</v>
      </c>
      <c r="B5" s="97" t="s">
        <v>396</v>
      </c>
      <c r="C5" s="97" t="s">
        <v>267</v>
      </c>
      <c r="D5" s="69">
        <v>284</v>
      </c>
      <c r="E5" s="97" t="s">
        <v>670</v>
      </c>
      <c r="F5" s="93" t="s">
        <v>671</v>
      </c>
      <c r="G5" s="97" t="s">
        <v>36</v>
      </c>
      <c r="H5" s="97" t="s">
        <v>37</v>
      </c>
      <c r="I5" s="97" t="s">
        <v>38</v>
      </c>
      <c r="J5" s="97" t="s">
        <v>661</v>
      </c>
      <c r="K5" s="97" t="s">
        <v>662</v>
      </c>
      <c r="L5" s="62">
        <v>44823</v>
      </c>
      <c r="M5" s="62">
        <v>44827</v>
      </c>
      <c r="N5" s="63">
        <f>1212.43/2</f>
        <v>606.21500000000003</v>
      </c>
      <c r="O5" s="63">
        <f>1212.43/2</f>
        <v>606.21500000000003</v>
      </c>
      <c r="P5" s="90">
        <f>SUM(N5:O5)</f>
        <v>1212.43</v>
      </c>
      <c r="Q5" s="93">
        <v>5</v>
      </c>
      <c r="R5" s="63">
        <v>120</v>
      </c>
      <c r="S5" s="93">
        <v>0</v>
      </c>
      <c r="T5" s="63">
        <v>0</v>
      </c>
      <c r="U5" s="90">
        <f>Q5*R5+S5*T5</f>
        <v>600</v>
      </c>
      <c r="V5" s="90">
        <f>P5+U5</f>
        <v>1812.43</v>
      </c>
      <c r="W5" s="90">
        <f>V5</f>
        <v>1812.43</v>
      </c>
      <c r="X5" s="93"/>
    </row>
    <row r="6" spans="1:24" s="64" customFormat="1" ht="15">
      <c r="A6" s="97" t="s">
        <v>253</v>
      </c>
      <c r="B6" s="97" t="s">
        <v>288</v>
      </c>
      <c r="C6" s="97" t="s">
        <v>173</v>
      </c>
      <c r="D6" s="69">
        <v>127</v>
      </c>
      <c r="E6" s="97" t="s">
        <v>672</v>
      </c>
      <c r="F6" s="93" t="s">
        <v>671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62">
        <v>44823</v>
      </c>
      <c r="M6" s="62">
        <v>44827</v>
      </c>
      <c r="N6" s="63">
        <f>1212.43/2</f>
        <v>606.21500000000003</v>
      </c>
      <c r="O6" s="63">
        <f>1212.43/2</f>
        <v>606.21500000000003</v>
      </c>
      <c r="P6" s="90">
        <f t="shared" ref="P6:P8" si="0">SUM(N6:O6)</f>
        <v>1212.43</v>
      </c>
      <c r="Q6" s="93">
        <v>5</v>
      </c>
      <c r="R6" s="63">
        <v>120</v>
      </c>
      <c r="S6" s="93">
        <v>0</v>
      </c>
      <c r="T6" s="63">
        <v>0</v>
      </c>
      <c r="U6" s="90">
        <f t="shared" ref="U6:U8" si="1">Q6*R6+S6*T6</f>
        <v>600</v>
      </c>
      <c r="V6" s="90">
        <f t="shared" ref="V6:V8" si="2">P6+U6</f>
        <v>1812.43</v>
      </c>
      <c r="W6" s="90">
        <f t="shared" ref="W6:W8" si="3">V6</f>
        <v>1812.43</v>
      </c>
      <c r="X6" s="93"/>
    </row>
    <row r="7" spans="1:24" s="64" customFormat="1" ht="15">
      <c r="A7" s="97" t="s">
        <v>253</v>
      </c>
      <c r="B7" s="97" t="s">
        <v>259</v>
      </c>
      <c r="C7" s="97" t="s">
        <v>613</v>
      </c>
      <c r="D7" s="69">
        <v>372</v>
      </c>
      <c r="E7" s="97" t="s">
        <v>673</v>
      </c>
      <c r="F7" s="93" t="s">
        <v>674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62">
        <v>44825</v>
      </c>
      <c r="M7" s="62">
        <v>44826</v>
      </c>
      <c r="N7" s="63">
        <v>1453.97</v>
      </c>
      <c r="O7" s="63">
        <v>2364.62</v>
      </c>
      <c r="P7" s="90">
        <f t="shared" si="0"/>
        <v>3818.59</v>
      </c>
      <c r="Q7" s="93">
        <v>2</v>
      </c>
      <c r="R7" s="63">
        <v>120</v>
      </c>
      <c r="S7" s="93">
        <v>0</v>
      </c>
      <c r="T7" s="63">
        <v>0</v>
      </c>
      <c r="U7" s="90">
        <f t="shared" si="1"/>
        <v>240</v>
      </c>
      <c r="V7" s="90">
        <f t="shared" si="2"/>
        <v>4058.59</v>
      </c>
      <c r="W7" s="90">
        <f t="shared" si="3"/>
        <v>4058.59</v>
      </c>
      <c r="X7" s="93"/>
    </row>
    <row r="8" spans="1:24" s="64" customFormat="1" ht="15">
      <c r="A8" s="97" t="s">
        <v>253</v>
      </c>
      <c r="B8" s="97" t="s">
        <v>253</v>
      </c>
      <c r="C8" s="97" t="s">
        <v>675</v>
      </c>
      <c r="D8" s="69">
        <v>383</v>
      </c>
      <c r="E8" s="97" t="s">
        <v>676</v>
      </c>
      <c r="F8" s="65" t="s">
        <v>677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62">
        <v>44832</v>
      </c>
      <c r="M8" s="62">
        <v>44833</v>
      </c>
      <c r="N8" s="63">
        <f>2113.03/2</f>
        <v>1056.5150000000001</v>
      </c>
      <c r="O8" s="63">
        <f>2113.03/2</f>
        <v>1056.5150000000001</v>
      </c>
      <c r="P8" s="90">
        <f t="shared" si="0"/>
        <v>2113.0300000000002</v>
      </c>
      <c r="Q8" s="93">
        <v>2</v>
      </c>
      <c r="R8" s="63">
        <v>120</v>
      </c>
      <c r="S8" s="93">
        <v>0</v>
      </c>
      <c r="T8" s="63">
        <v>0</v>
      </c>
      <c r="U8" s="90">
        <f t="shared" si="1"/>
        <v>240</v>
      </c>
      <c r="V8" s="90">
        <f t="shared" si="2"/>
        <v>2353.0300000000002</v>
      </c>
      <c r="W8" s="90">
        <f t="shared" si="3"/>
        <v>2353.0300000000002</v>
      </c>
      <c r="X8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253</v>
      </c>
      <c r="B5" s="97" t="s">
        <v>253</v>
      </c>
      <c r="C5" s="97" t="s">
        <v>675</v>
      </c>
      <c r="D5" s="69">
        <v>383</v>
      </c>
      <c r="E5" s="97" t="s">
        <v>676</v>
      </c>
      <c r="F5" s="93" t="s">
        <v>678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2">
        <v>44853</v>
      </c>
      <c r="M5" s="62">
        <v>44854</v>
      </c>
      <c r="N5" s="63">
        <f>1104.62/2</f>
        <v>552.30999999999995</v>
      </c>
      <c r="O5" s="63">
        <f>1104.62/2</f>
        <v>552.30999999999995</v>
      </c>
      <c r="P5" s="90">
        <f>SUM(N5:O5)</f>
        <v>1104.6199999999999</v>
      </c>
      <c r="Q5" s="93">
        <v>2</v>
      </c>
      <c r="R5" s="63">
        <v>120</v>
      </c>
      <c r="S5" s="93">
        <v>0</v>
      </c>
      <c r="T5" s="63">
        <v>0</v>
      </c>
      <c r="U5" s="90">
        <f>Q5*R5+S5*T5</f>
        <v>240</v>
      </c>
      <c r="V5" s="90">
        <f>P5+U5</f>
        <v>1344.62</v>
      </c>
      <c r="W5" s="90">
        <f>V5</f>
        <v>1344.62</v>
      </c>
      <c r="X5" s="93"/>
    </row>
    <row r="6" spans="1:24" s="64" customFormat="1" ht="15">
      <c r="A6" s="97" t="s">
        <v>253</v>
      </c>
      <c r="B6" s="97" t="s">
        <v>322</v>
      </c>
      <c r="C6" s="97" t="s">
        <v>327</v>
      </c>
      <c r="D6" s="69">
        <v>87</v>
      </c>
      <c r="E6" s="97" t="s">
        <v>651</v>
      </c>
      <c r="F6" s="93" t="s">
        <v>678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62">
        <v>44853</v>
      </c>
      <c r="M6" s="62">
        <v>44854</v>
      </c>
      <c r="N6" s="63">
        <f>1104.62/2</f>
        <v>552.30999999999995</v>
      </c>
      <c r="O6" s="63">
        <f t="shared" ref="O6:O7" si="0">1104.62/2</f>
        <v>552.30999999999995</v>
      </c>
      <c r="P6" s="90">
        <f t="shared" ref="P6:P7" si="1">SUM(N6:O6)</f>
        <v>1104.6199999999999</v>
      </c>
      <c r="Q6" s="93">
        <v>2</v>
      </c>
      <c r="R6" s="63">
        <v>120</v>
      </c>
      <c r="S6" s="93">
        <v>0</v>
      </c>
      <c r="T6" s="63">
        <v>0</v>
      </c>
      <c r="U6" s="90">
        <f t="shared" ref="U6:U7" si="2">Q6*R6+S6*T6</f>
        <v>240</v>
      </c>
      <c r="V6" s="90">
        <f t="shared" ref="V6:V7" si="3">P6+U6</f>
        <v>1344.62</v>
      </c>
      <c r="W6" s="90">
        <f t="shared" ref="W6:W7" si="4">V6</f>
        <v>1344.62</v>
      </c>
      <c r="X6" s="93"/>
    </row>
    <row r="7" spans="1:24" s="64" customFormat="1" ht="15">
      <c r="A7" s="97" t="s">
        <v>253</v>
      </c>
      <c r="B7" s="97" t="s">
        <v>288</v>
      </c>
      <c r="C7" s="97" t="s">
        <v>237</v>
      </c>
      <c r="D7" s="69">
        <v>82</v>
      </c>
      <c r="E7" s="97" t="s">
        <v>679</v>
      </c>
      <c r="F7" s="93" t="s">
        <v>678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62">
        <v>44853</v>
      </c>
      <c r="M7" s="62">
        <v>44854</v>
      </c>
      <c r="N7" s="63">
        <f>1104.62/2</f>
        <v>552.30999999999995</v>
      </c>
      <c r="O7" s="63">
        <f t="shared" si="0"/>
        <v>552.30999999999995</v>
      </c>
      <c r="P7" s="90">
        <f t="shared" si="1"/>
        <v>1104.6199999999999</v>
      </c>
      <c r="Q7" s="93">
        <v>2</v>
      </c>
      <c r="R7" s="63">
        <v>120</v>
      </c>
      <c r="S7" s="93">
        <v>0</v>
      </c>
      <c r="T7" s="63">
        <v>0</v>
      </c>
      <c r="U7" s="90">
        <f t="shared" si="2"/>
        <v>240</v>
      </c>
      <c r="V7" s="90">
        <f t="shared" si="3"/>
        <v>1344.62</v>
      </c>
      <c r="W7" s="90">
        <f t="shared" si="4"/>
        <v>1344.62</v>
      </c>
      <c r="X7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231</v>
      </c>
      <c r="B5" s="97" t="s">
        <v>305</v>
      </c>
      <c r="C5" s="97" t="s">
        <v>612</v>
      </c>
      <c r="D5" s="69">
        <v>355</v>
      </c>
      <c r="E5" s="97" t="s">
        <v>308</v>
      </c>
      <c r="F5" s="97" t="s">
        <v>680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2">
        <v>44881</v>
      </c>
      <c r="M5" s="62">
        <v>44884</v>
      </c>
      <c r="N5" s="63">
        <v>2113.0300000000002</v>
      </c>
      <c r="O5" s="63">
        <v>2364.62</v>
      </c>
      <c r="P5" s="63">
        <f>SUM(N5:O5)</f>
        <v>4477.6499999999996</v>
      </c>
      <c r="Q5" s="93">
        <v>4</v>
      </c>
      <c r="R5" s="63">
        <v>120</v>
      </c>
      <c r="S5" s="93">
        <v>0</v>
      </c>
      <c r="T5" s="63">
        <v>0</v>
      </c>
      <c r="U5" s="90">
        <f>Q5*R5+S5*T5</f>
        <v>480</v>
      </c>
      <c r="V5" s="90">
        <f>P5+U5</f>
        <v>4957.6499999999996</v>
      </c>
      <c r="W5" s="90">
        <f>V5</f>
        <v>4957.6499999999996</v>
      </c>
      <c r="X5" s="93"/>
    </row>
    <row r="6" spans="1:24" s="64" customFormat="1" ht="15">
      <c r="A6" s="97" t="s">
        <v>231</v>
      </c>
      <c r="B6" s="97" t="s">
        <v>221</v>
      </c>
      <c r="C6" s="97" t="s">
        <v>54</v>
      </c>
      <c r="D6" s="69">
        <v>56</v>
      </c>
      <c r="E6" s="97" t="s">
        <v>610</v>
      </c>
      <c r="F6" s="97" t="s">
        <v>681</v>
      </c>
      <c r="G6" s="97" t="s">
        <v>36</v>
      </c>
      <c r="H6" s="97" t="s">
        <v>37</v>
      </c>
      <c r="I6" s="97" t="s">
        <v>38</v>
      </c>
      <c r="J6" s="97" t="s">
        <v>424</v>
      </c>
      <c r="K6" s="97" t="s">
        <v>427</v>
      </c>
      <c r="L6" s="62">
        <v>44872</v>
      </c>
      <c r="M6" s="62">
        <v>44875</v>
      </c>
      <c r="N6" s="63">
        <f>1908.15/2</f>
        <v>954.07500000000005</v>
      </c>
      <c r="O6" s="63">
        <f>1908.15/2</f>
        <v>954.07500000000005</v>
      </c>
      <c r="P6" s="63">
        <f t="shared" ref="P6:P11" si="0">SUM(N6:O6)</f>
        <v>1908.15</v>
      </c>
      <c r="Q6" s="93">
        <v>10</v>
      </c>
      <c r="R6" s="63">
        <v>120</v>
      </c>
      <c r="S6" s="93">
        <v>0</v>
      </c>
      <c r="T6" s="63">
        <v>0</v>
      </c>
      <c r="U6" s="90">
        <f t="shared" ref="U6:U11" si="1">Q6*R6+S6*T6</f>
        <v>1200</v>
      </c>
      <c r="V6" s="90">
        <f t="shared" ref="V6:V11" si="2">P6+U6</f>
        <v>3108.15</v>
      </c>
      <c r="W6" s="90">
        <f t="shared" ref="W6:W11" si="3">V6</f>
        <v>3108.15</v>
      </c>
      <c r="X6" s="93"/>
    </row>
    <row r="7" spans="1:24" s="64" customFormat="1" ht="15">
      <c r="A7" s="97" t="s">
        <v>231</v>
      </c>
      <c r="B7" s="97" t="s">
        <v>231</v>
      </c>
      <c r="C7" s="97" t="s">
        <v>412</v>
      </c>
      <c r="D7" s="69">
        <v>0</v>
      </c>
      <c r="E7" s="97" t="s">
        <v>562</v>
      </c>
      <c r="F7" s="97" t="s">
        <v>680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62">
        <v>44881</v>
      </c>
      <c r="M7" s="62">
        <v>44884</v>
      </c>
      <c r="N7" s="63">
        <v>2113.0300000000002</v>
      </c>
      <c r="O7" s="63">
        <v>2364.62</v>
      </c>
      <c r="P7" s="63">
        <f t="shared" si="0"/>
        <v>4477.6499999999996</v>
      </c>
      <c r="Q7" s="93">
        <v>0</v>
      </c>
      <c r="R7" s="63">
        <v>0</v>
      </c>
      <c r="S7" s="93">
        <v>0</v>
      </c>
      <c r="T7" s="63">
        <v>0</v>
      </c>
      <c r="U7" s="90">
        <f t="shared" si="1"/>
        <v>0</v>
      </c>
      <c r="V7" s="90">
        <f t="shared" si="2"/>
        <v>4477.6499999999996</v>
      </c>
      <c r="W7" s="90">
        <f t="shared" si="3"/>
        <v>4477.6499999999996</v>
      </c>
      <c r="X7" s="93"/>
    </row>
    <row r="8" spans="1:24" s="64" customFormat="1" ht="15">
      <c r="A8" s="97" t="s">
        <v>253</v>
      </c>
      <c r="B8" s="97" t="s">
        <v>212</v>
      </c>
      <c r="C8" s="97" t="s">
        <v>404</v>
      </c>
      <c r="D8" s="69">
        <v>345</v>
      </c>
      <c r="E8" s="97" t="s">
        <v>646</v>
      </c>
      <c r="F8" s="97" t="s">
        <v>682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62">
        <v>44873</v>
      </c>
      <c r="M8" s="62">
        <v>44873</v>
      </c>
      <c r="N8" s="63">
        <f>2930.51/2</f>
        <v>1465.2550000000001</v>
      </c>
      <c r="O8" s="63">
        <f>2930.51/2</f>
        <v>1465.2550000000001</v>
      </c>
      <c r="P8" s="63">
        <f t="shared" si="0"/>
        <v>2930.51</v>
      </c>
      <c r="Q8" s="93">
        <v>1</v>
      </c>
      <c r="R8" s="63">
        <v>120</v>
      </c>
      <c r="S8" s="93">
        <v>0</v>
      </c>
      <c r="T8" s="63">
        <v>0</v>
      </c>
      <c r="U8" s="90">
        <f t="shared" si="1"/>
        <v>120</v>
      </c>
      <c r="V8" s="90">
        <f t="shared" si="2"/>
        <v>3050.51</v>
      </c>
      <c r="W8" s="90">
        <f t="shared" si="3"/>
        <v>3050.51</v>
      </c>
      <c r="X8" s="93"/>
    </row>
    <row r="9" spans="1:24" s="64" customFormat="1" ht="15">
      <c r="A9" s="97" t="s">
        <v>371</v>
      </c>
      <c r="B9" s="97" t="s">
        <v>240</v>
      </c>
      <c r="C9" s="97" t="s">
        <v>140</v>
      </c>
      <c r="D9" s="69">
        <v>230</v>
      </c>
      <c r="E9" s="97" t="s">
        <v>142</v>
      </c>
      <c r="F9" s="97" t="s">
        <v>682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62">
        <v>44873</v>
      </c>
      <c r="M9" s="62">
        <v>44873</v>
      </c>
      <c r="N9" s="63">
        <f>3433/2</f>
        <v>1716.5</v>
      </c>
      <c r="O9" s="63">
        <f>3433/2</f>
        <v>1716.5</v>
      </c>
      <c r="P9" s="63">
        <f t="shared" si="0"/>
        <v>3433</v>
      </c>
      <c r="Q9" s="93">
        <v>1</v>
      </c>
      <c r="R9" s="63">
        <v>120</v>
      </c>
      <c r="S9" s="93">
        <v>0</v>
      </c>
      <c r="T9" s="63">
        <v>0</v>
      </c>
      <c r="U9" s="90">
        <f t="shared" si="1"/>
        <v>120</v>
      </c>
      <c r="V9" s="90">
        <f t="shared" si="2"/>
        <v>3553</v>
      </c>
      <c r="W9" s="90">
        <f t="shared" si="3"/>
        <v>3553</v>
      </c>
      <c r="X9" s="93"/>
    </row>
    <row r="10" spans="1:24" s="64" customFormat="1" ht="15">
      <c r="A10" s="97" t="s">
        <v>253</v>
      </c>
      <c r="B10" s="97" t="s">
        <v>212</v>
      </c>
      <c r="C10" s="97" t="s">
        <v>620</v>
      </c>
      <c r="D10" s="69">
        <v>365</v>
      </c>
      <c r="E10" s="97" t="s">
        <v>34</v>
      </c>
      <c r="F10" s="97" t="s">
        <v>683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2">
        <v>44881</v>
      </c>
      <c r="M10" s="62">
        <v>44882</v>
      </c>
      <c r="N10" s="63">
        <f>2265.36/2</f>
        <v>1132.68</v>
      </c>
      <c r="O10" s="63">
        <f>2265.36/2</f>
        <v>1132.68</v>
      </c>
      <c r="P10" s="63">
        <f t="shared" si="0"/>
        <v>2265.36</v>
      </c>
      <c r="Q10" s="93">
        <v>2</v>
      </c>
      <c r="R10" s="63">
        <v>120</v>
      </c>
      <c r="S10" s="93">
        <v>0</v>
      </c>
      <c r="T10" s="63">
        <v>0</v>
      </c>
      <c r="U10" s="90">
        <f t="shared" si="1"/>
        <v>240</v>
      </c>
      <c r="V10" s="90">
        <f t="shared" si="2"/>
        <v>2505.36</v>
      </c>
      <c r="W10" s="90">
        <f t="shared" si="3"/>
        <v>2505.36</v>
      </c>
      <c r="X10" s="93"/>
    </row>
    <row r="11" spans="1:24" s="64" customFormat="1" ht="15">
      <c r="A11" s="97" t="s">
        <v>253</v>
      </c>
      <c r="B11" s="97" t="s">
        <v>212</v>
      </c>
      <c r="C11" s="97" t="s">
        <v>270</v>
      </c>
      <c r="D11" s="69" t="s">
        <v>168</v>
      </c>
      <c r="E11" s="97" t="s">
        <v>599</v>
      </c>
      <c r="F11" s="97" t="s">
        <v>683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62">
        <v>44881</v>
      </c>
      <c r="M11" s="62">
        <v>44882</v>
      </c>
      <c r="N11" s="63">
        <f>2265.36/2</f>
        <v>1132.68</v>
      </c>
      <c r="O11" s="63">
        <f>2265.36/2</f>
        <v>1132.68</v>
      </c>
      <c r="P11" s="63">
        <f t="shared" si="0"/>
        <v>2265.36</v>
      </c>
      <c r="Q11" s="93">
        <v>2</v>
      </c>
      <c r="R11" s="63">
        <v>120</v>
      </c>
      <c r="S11" s="93">
        <v>0</v>
      </c>
      <c r="T11" s="63">
        <v>0</v>
      </c>
      <c r="U11" s="90">
        <f t="shared" si="1"/>
        <v>240</v>
      </c>
      <c r="V11" s="90">
        <f t="shared" si="2"/>
        <v>2505.36</v>
      </c>
      <c r="W11" s="90">
        <f t="shared" si="3"/>
        <v>2505.36</v>
      </c>
      <c r="X1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231</v>
      </c>
      <c r="B5" s="97" t="s">
        <v>229</v>
      </c>
      <c r="C5" s="97" t="s">
        <v>586</v>
      </c>
      <c r="D5" s="69">
        <v>357</v>
      </c>
      <c r="E5" s="97" t="s">
        <v>248</v>
      </c>
      <c r="F5" s="97" t="s">
        <v>684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2">
        <v>44908</v>
      </c>
      <c r="M5" s="62">
        <v>44910</v>
      </c>
      <c r="N5" s="63">
        <f>1670.62/2</f>
        <v>835.31</v>
      </c>
      <c r="O5" s="63">
        <f>1670.62/2</f>
        <v>835.31</v>
      </c>
      <c r="P5" s="63">
        <f>SUM(N5:O5)</f>
        <v>1670.62</v>
      </c>
      <c r="Q5" s="93">
        <v>3</v>
      </c>
      <c r="R5" s="63">
        <v>120</v>
      </c>
      <c r="S5" s="93">
        <v>0</v>
      </c>
      <c r="T5" s="63">
        <v>0</v>
      </c>
      <c r="U5" s="90">
        <f>Q5*R5+S5*T5</f>
        <v>360</v>
      </c>
      <c r="V5" s="90">
        <f>P5+U5</f>
        <v>2030.62</v>
      </c>
      <c r="W5" s="90">
        <f>V5</f>
        <v>2030.62</v>
      </c>
      <c r="X5" s="93"/>
    </row>
    <row r="6" spans="1:24" s="64" customFormat="1" ht="15">
      <c r="A6" s="97" t="s">
        <v>253</v>
      </c>
      <c r="B6" s="97" t="s">
        <v>234</v>
      </c>
      <c r="C6" s="97" t="s">
        <v>456</v>
      </c>
      <c r="D6" s="69">
        <v>300</v>
      </c>
      <c r="E6" s="97" t="s">
        <v>685</v>
      </c>
      <c r="F6" s="97" t="s">
        <v>686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2">
        <v>44899</v>
      </c>
      <c r="M6" s="62">
        <v>44901</v>
      </c>
      <c r="N6" s="63">
        <f>3264.36/2</f>
        <v>1632.18</v>
      </c>
      <c r="O6" s="63">
        <f>3264.36/2</f>
        <v>1632.18</v>
      </c>
      <c r="P6" s="63">
        <f t="shared" ref="P6:P7" si="0">SUM(N6:O6)</f>
        <v>3264.36</v>
      </c>
      <c r="Q6" s="93">
        <v>3</v>
      </c>
      <c r="R6" s="63">
        <v>120</v>
      </c>
      <c r="S6" s="93">
        <v>0</v>
      </c>
      <c r="T6" s="63">
        <v>0</v>
      </c>
      <c r="U6" s="90">
        <f t="shared" ref="U6:U7" si="1">Q6*R6+S6*T6</f>
        <v>360</v>
      </c>
      <c r="V6" s="90">
        <f t="shared" ref="V6:V7" si="2">P6+U6</f>
        <v>3624.36</v>
      </c>
      <c r="W6" s="90">
        <f t="shared" ref="W6:W7" si="3">V6</f>
        <v>3624.36</v>
      </c>
      <c r="X6" s="93"/>
    </row>
    <row r="7" spans="1:24" s="64" customFormat="1" ht="15">
      <c r="A7" s="97" t="s">
        <v>253</v>
      </c>
      <c r="B7" s="97" t="s">
        <v>253</v>
      </c>
      <c r="C7" s="97" t="s">
        <v>387</v>
      </c>
      <c r="D7" s="69"/>
      <c r="E7" s="97" t="s">
        <v>50</v>
      </c>
      <c r="F7" s="97" t="s">
        <v>687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62">
        <v>44894</v>
      </c>
      <c r="M7" s="62">
        <v>44898</v>
      </c>
      <c r="N7" s="63">
        <f>1879.42/2</f>
        <v>939.71</v>
      </c>
      <c r="O7" s="63">
        <f>1879.42/2</f>
        <v>939.71</v>
      </c>
      <c r="P7" s="63">
        <f t="shared" si="0"/>
        <v>1879.42</v>
      </c>
      <c r="Q7" s="93">
        <v>0</v>
      </c>
      <c r="R7" s="63">
        <v>0</v>
      </c>
      <c r="S7" s="93">
        <v>0</v>
      </c>
      <c r="T7" s="63">
        <v>0</v>
      </c>
      <c r="U7" s="90">
        <f t="shared" si="1"/>
        <v>0</v>
      </c>
      <c r="V7" s="90">
        <f t="shared" si="2"/>
        <v>1879.42</v>
      </c>
      <c r="W7" s="90">
        <f t="shared" si="3"/>
        <v>1879.42</v>
      </c>
      <c r="X7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/>
      <c r="B5" s="97"/>
      <c r="C5" s="97"/>
      <c r="D5" s="69"/>
      <c r="E5" s="97"/>
      <c r="F5" s="97"/>
      <c r="G5" s="97"/>
      <c r="H5" s="97"/>
      <c r="I5" s="97"/>
      <c r="J5" s="97"/>
      <c r="K5" s="97"/>
      <c r="L5" s="62"/>
      <c r="M5" s="62"/>
      <c r="N5" s="63"/>
      <c r="O5" s="63"/>
      <c r="P5" s="63">
        <f>SUM(N5:O5)</f>
        <v>0</v>
      </c>
      <c r="Q5" s="93">
        <v>0</v>
      </c>
      <c r="R5" s="63">
        <v>0</v>
      </c>
      <c r="S5" s="93">
        <v>0</v>
      </c>
      <c r="T5" s="63">
        <v>0</v>
      </c>
      <c r="U5" s="90">
        <f>Q5*R5+S5*T5</f>
        <v>0</v>
      </c>
      <c r="V5" s="90">
        <f>P5+U5</f>
        <v>0</v>
      </c>
      <c r="W5" s="90">
        <f>V5</f>
        <v>0</v>
      </c>
      <c r="X5" s="93"/>
    </row>
    <row r="6" spans="1:24" s="64" customFormat="1" ht="15">
      <c r="A6" s="97"/>
      <c r="B6" s="97"/>
      <c r="C6" s="97"/>
      <c r="D6" s="69"/>
      <c r="E6" s="97"/>
      <c r="F6" s="97"/>
      <c r="G6" s="97"/>
      <c r="H6" s="97"/>
      <c r="I6" s="97"/>
      <c r="J6" s="97"/>
      <c r="K6" s="97"/>
      <c r="L6" s="62"/>
      <c r="M6" s="62"/>
      <c r="N6" s="63"/>
      <c r="O6" s="63"/>
      <c r="P6" s="63">
        <f t="shared" ref="P6:P7" si="0">SUM(N6:O6)</f>
        <v>0</v>
      </c>
      <c r="Q6" s="93">
        <v>0</v>
      </c>
      <c r="R6" s="63">
        <v>0</v>
      </c>
      <c r="S6" s="93">
        <v>0</v>
      </c>
      <c r="T6" s="63">
        <v>0</v>
      </c>
      <c r="U6" s="90">
        <f t="shared" ref="U6:U7" si="1">Q6*R6+S6*T6</f>
        <v>0</v>
      </c>
      <c r="V6" s="90">
        <f t="shared" ref="V6:V7" si="2">P6+U6</f>
        <v>0</v>
      </c>
      <c r="W6" s="90">
        <f t="shared" ref="W6:W7" si="3">V6</f>
        <v>0</v>
      </c>
      <c r="X6" s="93"/>
    </row>
    <row r="7" spans="1:24" s="64" customFormat="1" ht="15">
      <c r="A7" s="97"/>
      <c r="B7" s="97"/>
      <c r="C7" s="97"/>
      <c r="D7" s="69"/>
      <c r="E7" s="97"/>
      <c r="F7" s="97"/>
      <c r="G7" s="97"/>
      <c r="H7" s="97"/>
      <c r="I7" s="97"/>
      <c r="J7" s="97"/>
      <c r="K7" s="97"/>
      <c r="L7" s="62"/>
      <c r="M7" s="62"/>
      <c r="N7" s="63"/>
      <c r="O7" s="63"/>
      <c r="P7" s="63">
        <f t="shared" si="0"/>
        <v>0</v>
      </c>
      <c r="Q7" s="93">
        <v>0</v>
      </c>
      <c r="R7" s="63">
        <v>0</v>
      </c>
      <c r="S7" s="93">
        <v>0</v>
      </c>
      <c r="T7" s="63">
        <v>0</v>
      </c>
      <c r="U7" s="90">
        <f t="shared" si="1"/>
        <v>0</v>
      </c>
      <c r="V7" s="90">
        <f t="shared" si="2"/>
        <v>0</v>
      </c>
      <c r="W7" s="90">
        <f t="shared" si="3"/>
        <v>0</v>
      </c>
      <c r="X7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253</v>
      </c>
      <c r="B5" s="97" t="s">
        <v>253</v>
      </c>
      <c r="C5" s="97" t="s">
        <v>387</v>
      </c>
      <c r="D5" s="69"/>
      <c r="E5" s="97" t="s">
        <v>50</v>
      </c>
      <c r="F5" s="97" t="s">
        <v>688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2">
        <v>45001</v>
      </c>
      <c r="M5" s="62">
        <v>45002</v>
      </c>
      <c r="N5" s="63">
        <f t="shared" ref="N5:O7" si="0">936.14/2</f>
        <v>468.07</v>
      </c>
      <c r="O5" s="63">
        <f t="shared" si="0"/>
        <v>468.07</v>
      </c>
      <c r="P5" s="63">
        <f>SUM(N5:O5)</f>
        <v>936.14</v>
      </c>
      <c r="Q5" s="93">
        <v>0</v>
      </c>
      <c r="R5" s="63">
        <v>0</v>
      </c>
      <c r="S5" s="93">
        <v>0</v>
      </c>
      <c r="T5" s="63">
        <v>0</v>
      </c>
      <c r="U5" s="90">
        <f>Q5*R5+S5*T5</f>
        <v>0</v>
      </c>
      <c r="V5" s="90">
        <f>P5+U5</f>
        <v>936.14</v>
      </c>
      <c r="W5" s="90">
        <f>V5</f>
        <v>936.14</v>
      </c>
      <c r="X5" s="93"/>
    </row>
    <row r="6" spans="1:24" s="64" customFormat="1" ht="15">
      <c r="A6" s="97" t="s">
        <v>253</v>
      </c>
      <c r="B6" s="97" t="s">
        <v>212</v>
      </c>
      <c r="C6" s="97" t="s">
        <v>620</v>
      </c>
      <c r="D6" s="69">
        <v>365</v>
      </c>
      <c r="E6" s="97" t="s">
        <v>34</v>
      </c>
      <c r="F6" s="97" t="s">
        <v>688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2">
        <v>45001</v>
      </c>
      <c r="M6" s="62">
        <v>45002</v>
      </c>
      <c r="N6" s="63">
        <f t="shared" si="0"/>
        <v>468.07</v>
      </c>
      <c r="O6" s="63">
        <f t="shared" si="0"/>
        <v>468.07</v>
      </c>
      <c r="P6" s="63">
        <f t="shared" ref="P6:P10" si="1">SUM(N6:O6)</f>
        <v>936.14</v>
      </c>
      <c r="Q6" s="93">
        <v>2</v>
      </c>
      <c r="R6" s="63">
        <v>120</v>
      </c>
      <c r="S6" s="93">
        <v>0</v>
      </c>
      <c r="T6" s="63">
        <v>0</v>
      </c>
      <c r="U6" s="90">
        <f t="shared" ref="U6:U10" si="2">Q6*R6+S6*T6</f>
        <v>240</v>
      </c>
      <c r="V6" s="90">
        <f t="shared" ref="V6:V9" si="3">P6+U6</f>
        <v>1176.1399999999999</v>
      </c>
      <c r="W6" s="90">
        <f t="shared" ref="W6:W9" si="4">V6</f>
        <v>1176.1399999999999</v>
      </c>
      <c r="X6" s="93"/>
    </row>
    <row r="7" spans="1:24" s="64" customFormat="1" ht="15">
      <c r="A7" s="97" t="s">
        <v>253</v>
      </c>
      <c r="B7" s="97" t="s">
        <v>212</v>
      </c>
      <c r="C7" s="97" t="s">
        <v>270</v>
      </c>
      <c r="D7" s="69" t="s">
        <v>168</v>
      </c>
      <c r="E7" s="97" t="s">
        <v>599</v>
      </c>
      <c r="F7" s="97" t="s">
        <v>688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2">
        <v>45001</v>
      </c>
      <c r="M7" s="62">
        <v>45002</v>
      </c>
      <c r="N7" s="63">
        <f t="shared" si="0"/>
        <v>468.07</v>
      </c>
      <c r="O7" s="63">
        <f t="shared" si="0"/>
        <v>468.07</v>
      </c>
      <c r="P7" s="63">
        <f t="shared" si="1"/>
        <v>936.14</v>
      </c>
      <c r="Q7" s="93">
        <v>2</v>
      </c>
      <c r="R7" s="63">
        <v>120</v>
      </c>
      <c r="S7" s="93">
        <v>0</v>
      </c>
      <c r="T7" s="63">
        <v>0</v>
      </c>
      <c r="U7" s="90">
        <f t="shared" si="2"/>
        <v>240</v>
      </c>
      <c r="V7" s="90">
        <f t="shared" si="3"/>
        <v>1176.1399999999999</v>
      </c>
      <c r="W7" s="90">
        <f t="shared" si="4"/>
        <v>1176.1399999999999</v>
      </c>
      <c r="X7" s="93"/>
    </row>
    <row r="8" spans="1:24" s="64" customFormat="1" ht="15">
      <c r="A8" s="97" t="s">
        <v>231</v>
      </c>
      <c r="B8" s="97" t="s">
        <v>229</v>
      </c>
      <c r="C8" s="97" t="s">
        <v>586</v>
      </c>
      <c r="D8" s="69">
        <v>357</v>
      </c>
      <c r="E8" s="97" t="s">
        <v>248</v>
      </c>
      <c r="F8" s="97" t="s">
        <v>689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62">
        <v>44997</v>
      </c>
      <c r="M8" s="62">
        <v>45002</v>
      </c>
      <c r="N8" s="63">
        <v>1623.42</v>
      </c>
      <c r="O8" s="63">
        <v>1879.42</v>
      </c>
      <c r="P8" s="63">
        <f t="shared" si="1"/>
        <v>3502.84</v>
      </c>
      <c r="Q8" s="93">
        <v>0</v>
      </c>
      <c r="R8" s="63">
        <v>0</v>
      </c>
      <c r="S8" s="93">
        <v>0</v>
      </c>
      <c r="T8" s="63">
        <v>0</v>
      </c>
      <c r="U8" s="90">
        <f t="shared" si="2"/>
        <v>0</v>
      </c>
      <c r="V8" s="90">
        <f t="shared" si="3"/>
        <v>3502.84</v>
      </c>
      <c r="W8" s="90">
        <f t="shared" si="4"/>
        <v>3502.84</v>
      </c>
      <c r="X8" s="93"/>
    </row>
    <row r="9" spans="1:24" s="64" customFormat="1" ht="15">
      <c r="A9" s="97" t="s">
        <v>253</v>
      </c>
      <c r="B9" s="97" t="s">
        <v>288</v>
      </c>
      <c r="C9" s="97" t="s">
        <v>345</v>
      </c>
      <c r="D9" s="69">
        <v>74</v>
      </c>
      <c r="E9" s="97" t="s">
        <v>535</v>
      </c>
      <c r="F9" s="97" t="s">
        <v>690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2">
        <v>44988</v>
      </c>
      <c r="M9" s="62">
        <v>44989</v>
      </c>
      <c r="N9" s="63">
        <f>1709.31/2</f>
        <v>854.65499999999997</v>
      </c>
      <c r="O9" s="63">
        <f>1709.31/2</f>
        <v>854.65499999999997</v>
      </c>
      <c r="P9" s="63">
        <f t="shared" si="1"/>
        <v>1709.31</v>
      </c>
      <c r="Q9" s="93">
        <v>2</v>
      </c>
      <c r="R9" s="63">
        <v>120</v>
      </c>
      <c r="S9" s="93">
        <v>0</v>
      </c>
      <c r="T9" s="63">
        <v>0</v>
      </c>
      <c r="U9" s="90">
        <f t="shared" si="2"/>
        <v>240</v>
      </c>
      <c r="V9" s="90">
        <f t="shared" si="3"/>
        <v>1949.31</v>
      </c>
      <c r="W9" s="90">
        <f t="shared" si="4"/>
        <v>1949.31</v>
      </c>
      <c r="X9" s="93"/>
    </row>
    <row r="10" spans="1:24" s="64" customFormat="1" ht="15">
      <c r="A10" s="180" t="s">
        <v>371</v>
      </c>
      <c r="B10" s="180" t="s">
        <v>240</v>
      </c>
      <c r="C10" s="180" t="s">
        <v>140</v>
      </c>
      <c r="D10" s="116">
        <v>230</v>
      </c>
      <c r="E10" s="182" t="s">
        <v>142</v>
      </c>
      <c r="F10" s="180" t="s">
        <v>691</v>
      </c>
      <c r="G10" s="97" t="s">
        <v>36</v>
      </c>
      <c r="H10" s="97" t="s">
        <v>62</v>
      </c>
      <c r="I10" s="97" t="s">
        <v>63</v>
      </c>
      <c r="J10" s="97" t="s">
        <v>39</v>
      </c>
      <c r="K10" s="97" t="s">
        <v>40</v>
      </c>
      <c r="L10" s="165">
        <v>45011</v>
      </c>
      <c r="M10" s="165">
        <v>45013</v>
      </c>
      <c r="N10" s="163">
        <f>3156.22/2</f>
        <v>1578.11</v>
      </c>
      <c r="O10" s="163">
        <f>3156.22/2</f>
        <v>1578.11</v>
      </c>
      <c r="P10" s="163">
        <f t="shared" si="1"/>
        <v>3156.22</v>
      </c>
      <c r="Q10" s="161">
        <v>7</v>
      </c>
      <c r="R10" s="163">
        <v>120</v>
      </c>
      <c r="S10" s="161">
        <v>0</v>
      </c>
      <c r="T10" s="163">
        <v>0</v>
      </c>
      <c r="U10" s="158">
        <f t="shared" si="2"/>
        <v>840</v>
      </c>
      <c r="V10" s="158">
        <f>P10+U10</f>
        <v>3996.22</v>
      </c>
      <c r="W10" s="158">
        <f>V10</f>
        <v>3996.22</v>
      </c>
      <c r="X10" s="180"/>
    </row>
    <row r="11" spans="1:24" s="64" customFormat="1" ht="15">
      <c r="A11" s="181"/>
      <c r="B11" s="181"/>
      <c r="C11" s="181"/>
      <c r="D11" s="116"/>
      <c r="E11" s="182"/>
      <c r="F11" s="181"/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166"/>
      <c r="M11" s="166"/>
      <c r="N11" s="164"/>
      <c r="O11" s="164"/>
      <c r="P11" s="164"/>
      <c r="Q11" s="162"/>
      <c r="R11" s="164"/>
      <c r="S11" s="162"/>
      <c r="T11" s="164"/>
      <c r="U11" s="159"/>
      <c r="V11" s="159"/>
      <c r="W11" s="159"/>
      <c r="X11" s="181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371</v>
      </c>
      <c r="B5" s="97" t="s">
        <v>240</v>
      </c>
      <c r="C5" s="97" t="s">
        <v>448</v>
      </c>
      <c r="D5" s="69">
        <v>336</v>
      </c>
      <c r="E5" s="97" t="s">
        <v>692</v>
      </c>
      <c r="F5" s="97" t="s">
        <v>693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2">
        <v>45019</v>
      </c>
      <c r="M5" s="62">
        <v>45021</v>
      </c>
      <c r="N5" s="63">
        <f t="shared" ref="N5:O7" si="0">3258.83/2</f>
        <v>1629.415</v>
      </c>
      <c r="O5" s="63">
        <f t="shared" si="0"/>
        <v>1629.415</v>
      </c>
      <c r="P5" s="63">
        <f>SUM(N5:O5)</f>
        <v>3258.83</v>
      </c>
      <c r="Q5" s="93">
        <v>3</v>
      </c>
      <c r="R5" s="63">
        <v>120</v>
      </c>
      <c r="S5" s="93">
        <v>0</v>
      </c>
      <c r="T5" s="63">
        <v>0</v>
      </c>
      <c r="U5" s="90">
        <f>Q5*R5+S5*T5</f>
        <v>360</v>
      </c>
      <c r="V5" s="90">
        <f>P5+U5</f>
        <v>3618.83</v>
      </c>
      <c r="W5" s="90">
        <f>V5</f>
        <v>3618.83</v>
      </c>
      <c r="X5" s="93"/>
    </row>
    <row r="6" spans="1:24" s="64" customFormat="1" ht="15">
      <c r="A6" s="97" t="s">
        <v>371</v>
      </c>
      <c r="B6" s="97" t="s">
        <v>240</v>
      </c>
      <c r="C6" s="97" t="s">
        <v>140</v>
      </c>
      <c r="D6" s="69">
        <v>230</v>
      </c>
      <c r="E6" s="97" t="s">
        <v>142</v>
      </c>
      <c r="F6" s="97" t="s">
        <v>693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40</v>
      </c>
      <c r="L6" s="62">
        <v>45019</v>
      </c>
      <c r="M6" s="62">
        <v>45021</v>
      </c>
      <c r="N6" s="63">
        <f t="shared" si="0"/>
        <v>1629.415</v>
      </c>
      <c r="O6" s="63">
        <f t="shared" si="0"/>
        <v>1629.415</v>
      </c>
      <c r="P6" s="63">
        <f t="shared" ref="P6:P10" si="1">SUM(N6:O6)</f>
        <v>3258.83</v>
      </c>
      <c r="Q6" s="93">
        <v>6</v>
      </c>
      <c r="R6" s="63">
        <v>120</v>
      </c>
      <c r="S6" s="93">
        <v>0</v>
      </c>
      <c r="T6" s="63">
        <v>0</v>
      </c>
      <c r="U6" s="90">
        <f t="shared" ref="U6:U10" si="2">Q6*R6+S6*T6</f>
        <v>720</v>
      </c>
      <c r="V6" s="90">
        <f t="shared" ref="V6:V10" si="3">P6+U6</f>
        <v>3978.83</v>
      </c>
      <c r="W6" s="90">
        <f t="shared" ref="W6:W10" si="4">V6</f>
        <v>3978.83</v>
      </c>
      <c r="X6" s="93"/>
    </row>
    <row r="7" spans="1:24" s="64" customFormat="1" ht="15">
      <c r="A7" s="97" t="s">
        <v>371</v>
      </c>
      <c r="B7" s="97" t="s">
        <v>371</v>
      </c>
      <c r="C7" s="97" t="s">
        <v>137</v>
      </c>
      <c r="D7" s="69">
        <v>202</v>
      </c>
      <c r="E7" s="97" t="s">
        <v>78</v>
      </c>
      <c r="F7" s="97" t="s">
        <v>693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40</v>
      </c>
      <c r="L7" s="62">
        <v>45019</v>
      </c>
      <c r="M7" s="62">
        <v>45021</v>
      </c>
      <c r="N7" s="63">
        <f t="shared" si="0"/>
        <v>1629.415</v>
      </c>
      <c r="O7" s="63">
        <f t="shared" si="0"/>
        <v>1629.415</v>
      </c>
      <c r="P7" s="63">
        <f t="shared" si="1"/>
        <v>3258.83</v>
      </c>
      <c r="Q7" s="93">
        <v>3</v>
      </c>
      <c r="R7" s="63">
        <v>120</v>
      </c>
      <c r="S7" s="93">
        <v>0</v>
      </c>
      <c r="T7" s="63">
        <v>0</v>
      </c>
      <c r="U7" s="90">
        <f t="shared" si="2"/>
        <v>360</v>
      </c>
      <c r="V7" s="90">
        <f t="shared" si="3"/>
        <v>3618.83</v>
      </c>
      <c r="W7" s="90">
        <f t="shared" si="4"/>
        <v>3618.83</v>
      </c>
      <c r="X7" s="93"/>
    </row>
    <row r="8" spans="1:24" s="64" customFormat="1" ht="15">
      <c r="A8" s="97" t="s">
        <v>253</v>
      </c>
      <c r="B8" s="97" t="s">
        <v>288</v>
      </c>
      <c r="C8" s="97" t="s">
        <v>642</v>
      </c>
      <c r="D8" s="69">
        <v>252</v>
      </c>
      <c r="E8" s="97" t="s">
        <v>694</v>
      </c>
      <c r="F8" s="97" t="s">
        <v>695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2">
        <v>45021</v>
      </c>
      <c r="M8" s="62">
        <v>45036</v>
      </c>
      <c r="N8" s="63">
        <f>1112.2/2</f>
        <v>556.1</v>
      </c>
      <c r="O8" s="63">
        <f>1112.2/2</f>
        <v>556.1</v>
      </c>
      <c r="P8" s="63">
        <f t="shared" si="1"/>
        <v>1112.2</v>
      </c>
      <c r="Q8" s="93">
        <v>16</v>
      </c>
      <c r="R8" s="63">
        <v>120</v>
      </c>
      <c r="S8" s="93">
        <v>0</v>
      </c>
      <c r="T8" s="63">
        <v>0</v>
      </c>
      <c r="U8" s="90">
        <f t="shared" si="2"/>
        <v>1920</v>
      </c>
      <c r="V8" s="90">
        <f t="shared" si="3"/>
        <v>3032.2</v>
      </c>
      <c r="W8" s="90">
        <f t="shared" si="4"/>
        <v>3032.2</v>
      </c>
      <c r="X8" s="93"/>
    </row>
    <row r="9" spans="1:24" s="64" customFormat="1" ht="15">
      <c r="A9" s="97" t="s">
        <v>253</v>
      </c>
      <c r="B9" s="97" t="s">
        <v>253</v>
      </c>
      <c r="C9" s="97" t="s">
        <v>675</v>
      </c>
      <c r="D9" s="69">
        <v>383</v>
      </c>
      <c r="E9" s="97" t="s">
        <v>676</v>
      </c>
      <c r="F9" s="97" t="s">
        <v>696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62">
        <v>45040</v>
      </c>
      <c r="M9" s="62">
        <v>45041</v>
      </c>
      <c r="N9" s="63">
        <f>5617.58/2</f>
        <v>2808.79</v>
      </c>
      <c r="O9" s="63">
        <f>5617.58/2</f>
        <v>2808.79</v>
      </c>
      <c r="P9" s="63">
        <f t="shared" si="1"/>
        <v>5617.58</v>
      </c>
      <c r="Q9" s="93">
        <v>2</v>
      </c>
      <c r="R9" s="63">
        <v>120</v>
      </c>
      <c r="S9" s="93">
        <v>0</v>
      </c>
      <c r="T9" s="63">
        <v>0</v>
      </c>
      <c r="U9" s="90">
        <f t="shared" si="2"/>
        <v>240</v>
      </c>
      <c r="V9" s="90">
        <f t="shared" si="3"/>
        <v>5857.58</v>
      </c>
      <c r="W9" s="90">
        <f t="shared" si="4"/>
        <v>5857.58</v>
      </c>
      <c r="X9" s="93"/>
    </row>
    <row r="10" spans="1:24" s="64" customFormat="1" ht="15">
      <c r="A10" s="97" t="s">
        <v>253</v>
      </c>
      <c r="B10" s="97" t="s">
        <v>253</v>
      </c>
      <c r="C10" s="97" t="s">
        <v>387</v>
      </c>
      <c r="D10" s="69"/>
      <c r="E10" s="97" t="s">
        <v>50</v>
      </c>
      <c r="F10" s="97" t="s">
        <v>696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40</v>
      </c>
      <c r="L10" s="62">
        <v>45040</v>
      </c>
      <c r="M10" s="62">
        <v>45041</v>
      </c>
      <c r="N10" s="63">
        <f>5617.58/2</f>
        <v>2808.79</v>
      </c>
      <c r="O10" s="63">
        <f>5617.58/2</f>
        <v>2808.79</v>
      </c>
      <c r="P10" s="63">
        <f t="shared" si="1"/>
        <v>5617.58</v>
      </c>
      <c r="Q10" s="93">
        <v>0</v>
      </c>
      <c r="R10" s="63">
        <v>0</v>
      </c>
      <c r="S10" s="93">
        <v>0</v>
      </c>
      <c r="T10" s="63">
        <v>0</v>
      </c>
      <c r="U10" s="90">
        <f t="shared" si="2"/>
        <v>0</v>
      </c>
      <c r="V10" s="90">
        <f t="shared" si="3"/>
        <v>5617.58</v>
      </c>
      <c r="W10" s="90">
        <f t="shared" si="4"/>
        <v>5617.58</v>
      </c>
      <c r="X10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.25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253</v>
      </c>
      <c r="B5" s="97" t="s">
        <v>253</v>
      </c>
      <c r="C5" s="97" t="s">
        <v>387</v>
      </c>
      <c r="D5" s="69"/>
      <c r="E5" s="97" t="s">
        <v>50</v>
      </c>
      <c r="F5" s="97" t="s">
        <v>697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2">
        <v>45055</v>
      </c>
      <c r="M5" s="62">
        <v>45060</v>
      </c>
      <c r="N5" s="63">
        <f>1309.52/2</f>
        <v>654.76</v>
      </c>
      <c r="O5" s="63">
        <f>1309.52/2</f>
        <v>654.76</v>
      </c>
      <c r="P5" s="63">
        <f>SUM(N5:O5)</f>
        <v>1309.52</v>
      </c>
      <c r="Q5" s="93">
        <v>0</v>
      </c>
      <c r="R5" s="63">
        <v>0</v>
      </c>
      <c r="S5" s="93">
        <v>0</v>
      </c>
      <c r="T5" s="63">
        <v>0</v>
      </c>
      <c r="U5" s="90">
        <f>Q5*R5+S5*T5</f>
        <v>0</v>
      </c>
      <c r="V5" s="90">
        <f>P5+U5</f>
        <v>1309.52</v>
      </c>
      <c r="W5" s="90">
        <f>V5</f>
        <v>1309.52</v>
      </c>
      <c r="X5" s="93"/>
    </row>
    <row r="6" spans="1:24" s="64" customFormat="1" ht="15">
      <c r="A6" s="97" t="s">
        <v>253</v>
      </c>
      <c r="B6" s="97" t="s">
        <v>253</v>
      </c>
      <c r="C6" s="97" t="s">
        <v>675</v>
      </c>
      <c r="D6" s="69">
        <v>383</v>
      </c>
      <c r="E6" s="97" t="s">
        <v>698</v>
      </c>
      <c r="F6" s="97" t="s">
        <v>699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62">
        <v>45055</v>
      </c>
      <c r="M6" s="62">
        <v>45057</v>
      </c>
      <c r="N6" s="63">
        <f>1592.83/2</f>
        <v>796.41499999999996</v>
      </c>
      <c r="O6" s="63">
        <f>1592.83/2</f>
        <v>796.41499999999996</v>
      </c>
      <c r="P6" s="63">
        <f t="shared" ref="P6:P11" si="0">SUM(N6:O6)</f>
        <v>1592.83</v>
      </c>
      <c r="Q6" s="93">
        <v>3</v>
      </c>
      <c r="R6" s="63">
        <v>120</v>
      </c>
      <c r="S6" s="93">
        <v>0</v>
      </c>
      <c r="T6" s="63">
        <v>0</v>
      </c>
      <c r="U6" s="90">
        <f t="shared" ref="U6:U10" si="1">Q6*R6+S6*T6</f>
        <v>360</v>
      </c>
      <c r="V6" s="90">
        <f t="shared" ref="V6:V10" si="2">P6+U6</f>
        <v>1952.83</v>
      </c>
      <c r="W6" s="90">
        <f t="shared" ref="W6:W10" si="3">V6</f>
        <v>1952.83</v>
      </c>
      <c r="X6" s="93"/>
    </row>
    <row r="7" spans="1:24" s="64" customFormat="1" ht="15">
      <c r="A7" s="97" t="s">
        <v>371</v>
      </c>
      <c r="B7" s="97" t="s">
        <v>371</v>
      </c>
      <c r="C7" s="97" t="s">
        <v>137</v>
      </c>
      <c r="D7" s="69">
        <v>202</v>
      </c>
      <c r="E7" s="97" t="s">
        <v>700</v>
      </c>
      <c r="F7" s="97" t="s">
        <v>699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62">
        <v>45055</v>
      </c>
      <c r="M7" s="62">
        <v>45057</v>
      </c>
      <c r="N7" s="63">
        <f>1619.83/2</f>
        <v>809.91499999999996</v>
      </c>
      <c r="O7" s="63">
        <f>1619.83/2</f>
        <v>809.91499999999996</v>
      </c>
      <c r="P7" s="63">
        <f t="shared" si="0"/>
        <v>1619.83</v>
      </c>
      <c r="Q7" s="93">
        <v>3</v>
      </c>
      <c r="R7" s="63">
        <v>120</v>
      </c>
      <c r="S7" s="93">
        <v>0</v>
      </c>
      <c r="T7" s="63">
        <v>0</v>
      </c>
      <c r="U7" s="90">
        <f>Q7*R7+S7*T7</f>
        <v>360</v>
      </c>
      <c r="V7" s="90">
        <f t="shared" si="2"/>
        <v>1979.83</v>
      </c>
      <c r="W7" s="90">
        <f t="shared" si="3"/>
        <v>1979.83</v>
      </c>
      <c r="X7" s="93"/>
    </row>
    <row r="8" spans="1:24" s="64" customFormat="1" ht="15">
      <c r="A8" s="97" t="s">
        <v>371</v>
      </c>
      <c r="B8" s="97" t="s">
        <v>371</v>
      </c>
      <c r="C8" s="97" t="s">
        <v>79</v>
      </c>
      <c r="D8" s="69"/>
      <c r="E8" s="97" t="s">
        <v>80</v>
      </c>
      <c r="F8" s="97" t="s">
        <v>699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62">
        <v>45055</v>
      </c>
      <c r="M8" s="62">
        <v>45057</v>
      </c>
      <c r="N8" s="63">
        <f>1699.96/2</f>
        <v>849.98</v>
      </c>
      <c r="O8" s="63">
        <f>1699.96/2</f>
        <v>849.98</v>
      </c>
      <c r="P8" s="63">
        <f t="shared" si="0"/>
        <v>1699.96</v>
      </c>
      <c r="Q8" s="93">
        <v>0</v>
      </c>
      <c r="R8" s="63">
        <v>0</v>
      </c>
      <c r="S8" s="93">
        <v>0</v>
      </c>
      <c r="T8" s="63">
        <v>0</v>
      </c>
      <c r="U8" s="90">
        <f t="shared" si="1"/>
        <v>0</v>
      </c>
      <c r="V8" s="90">
        <f t="shared" si="2"/>
        <v>1699.96</v>
      </c>
      <c r="W8" s="90">
        <f t="shared" si="3"/>
        <v>1699.96</v>
      </c>
      <c r="X8" s="93"/>
    </row>
    <row r="9" spans="1:24" s="64" customFormat="1" ht="15">
      <c r="A9" s="97" t="s">
        <v>231</v>
      </c>
      <c r="B9" s="97" t="s">
        <v>241</v>
      </c>
      <c r="C9" s="97" t="s">
        <v>701</v>
      </c>
      <c r="D9" s="69">
        <v>394</v>
      </c>
      <c r="E9" s="97" t="s">
        <v>702</v>
      </c>
      <c r="F9" s="97" t="s">
        <v>703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62">
        <v>45056</v>
      </c>
      <c r="M9" s="62">
        <v>45058</v>
      </c>
      <c r="N9" s="63">
        <f>5095/2</f>
        <v>2547.5</v>
      </c>
      <c r="O9" s="63">
        <f>5095/2</f>
        <v>2547.5</v>
      </c>
      <c r="P9" s="63">
        <f t="shared" si="0"/>
        <v>5095</v>
      </c>
      <c r="Q9" s="93">
        <v>3</v>
      </c>
      <c r="R9" s="63">
        <v>120</v>
      </c>
      <c r="S9" s="93">
        <v>0</v>
      </c>
      <c r="T9" s="63">
        <v>0</v>
      </c>
      <c r="U9" s="90">
        <f t="shared" si="1"/>
        <v>360</v>
      </c>
      <c r="V9" s="90">
        <f t="shared" si="2"/>
        <v>5455</v>
      </c>
      <c r="W9" s="90">
        <f t="shared" si="3"/>
        <v>5455</v>
      </c>
      <c r="X9" s="93"/>
    </row>
    <row r="10" spans="1:24" s="64" customFormat="1" ht="15">
      <c r="A10" s="97" t="s">
        <v>231</v>
      </c>
      <c r="B10" s="97" t="s">
        <v>231</v>
      </c>
      <c r="C10" s="97" t="s">
        <v>704</v>
      </c>
      <c r="D10" s="69"/>
      <c r="E10" s="97" t="s">
        <v>562</v>
      </c>
      <c r="F10" s="97" t="s">
        <v>703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62">
        <v>45056</v>
      </c>
      <c r="M10" s="62">
        <v>45058</v>
      </c>
      <c r="N10" s="63">
        <f>4603/2</f>
        <v>2301.5</v>
      </c>
      <c r="O10" s="63">
        <f>4603/2</f>
        <v>2301.5</v>
      </c>
      <c r="P10" s="63">
        <f t="shared" si="0"/>
        <v>4603</v>
      </c>
      <c r="Q10" s="93">
        <v>0</v>
      </c>
      <c r="R10" s="63">
        <v>0</v>
      </c>
      <c r="S10" s="93">
        <v>0</v>
      </c>
      <c r="T10" s="63">
        <v>0</v>
      </c>
      <c r="U10" s="90">
        <f t="shared" si="1"/>
        <v>0</v>
      </c>
      <c r="V10" s="90">
        <f t="shared" si="2"/>
        <v>4603</v>
      </c>
      <c r="W10" s="90">
        <f t="shared" si="3"/>
        <v>4603</v>
      </c>
      <c r="X10" s="93"/>
    </row>
    <row r="11" spans="1:24" ht="15">
      <c r="A11" s="182" t="s">
        <v>253</v>
      </c>
      <c r="B11" s="182" t="s">
        <v>253</v>
      </c>
      <c r="C11" s="182" t="s">
        <v>387</v>
      </c>
      <c r="D11" s="167"/>
      <c r="E11" s="180" t="s">
        <v>50</v>
      </c>
      <c r="F11" s="171" t="s">
        <v>705</v>
      </c>
      <c r="G11" s="97" t="s">
        <v>36</v>
      </c>
      <c r="H11" s="97" t="s">
        <v>37</v>
      </c>
      <c r="I11" s="97" t="s">
        <v>38</v>
      </c>
      <c r="J11" s="97" t="s">
        <v>39</v>
      </c>
      <c r="K11" s="97" t="s">
        <v>40</v>
      </c>
      <c r="L11" s="66">
        <v>45063</v>
      </c>
      <c r="M11" s="66">
        <v>45064</v>
      </c>
      <c r="N11" s="163">
        <f>8486.12/2</f>
        <v>4243.0600000000004</v>
      </c>
      <c r="O11" s="163">
        <f>8486.12/2</f>
        <v>4243.0600000000004</v>
      </c>
      <c r="P11" s="163">
        <f t="shared" si="0"/>
        <v>8486.1200000000008</v>
      </c>
      <c r="Q11" s="174">
        <v>0</v>
      </c>
      <c r="R11" s="163">
        <v>0</v>
      </c>
      <c r="S11" s="174">
        <v>0</v>
      </c>
      <c r="T11" s="163">
        <v>0</v>
      </c>
      <c r="U11" s="174">
        <v>0</v>
      </c>
      <c r="V11" s="158">
        <f t="shared" ref="V11:V14" si="4">P11+U11</f>
        <v>8486.1200000000008</v>
      </c>
      <c r="W11" s="158">
        <f t="shared" ref="W11:W14" si="5">V11</f>
        <v>8486.1200000000008</v>
      </c>
      <c r="X11" s="157"/>
    </row>
    <row r="12" spans="1:24" ht="15">
      <c r="A12" s="182"/>
      <c r="B12" s="182"/>
      <c r="C12" s="182"/>
      <c r="D12" s="168"/>
      <c r="E12" s="183"/>
      <c r="F12" s="172"/>
      <c r="G12" s="97" t="s">
        <v>36</v>
      </c>
      <c r="H12" s="97" t="s">
        <v>39</v>
      </c>
      <c r="I12" s="97" t="s">
        <v>40</v>
      </c>
      <c r="J12" s="97" t="s">
        <v>127</v>
      </c>
      <c r="K12" s="97" t="s">
        <v>63</v>
      </c>
      <c r="L12" s="66">
        <v>45064</v>
      </c>
      <c r="M12" s="66">
        <v>45064</v>
      </c>
      <c r="N12" s="170"/>
      <c r="O12" s="170"/>
      <c r="P12" s="170"/>
      <c r="Q12" s="174"/>
      <c r="R12" s="170"/>
      <c r="S12" s="174"/>
      <c r="T12" s="170"/>
      <c r="U12" s="174"/>
      <c r="V12" s="175"/>
      <c r="W12" s="175"/>
      <c r="X12" s="157"/>
    </row>
    <row r="13" spans="1:24" ht="15">
      <c r="A13" s="182"/>
      <c r="B13" s="182"/>
      <c r="C13" s="182"/>
      <c r="D13" s="169"/>
      <c r="E13" s="181"/>
      <c r="F13" s="173"/>
      <c r="G13" s="97" t="s">
        <v>36</v>
      </c>
      <c r="H13" s="97" t="s">
        <v>127</v>
      </c>
      <c r="I13" s="97" t="s">
        <v>63</v>
      </c>
      <c r="J13" s="97" t="s">
        <v>37</v>
      </c>
      <c r="K13" s="97" t="s">
        <v>38</v>
      </c>
      <c r="L13" s="66">
        <v>45064</v>
      </c>
      <c r="M13" s="66">
        <v>45064</v>
      </c>
      <c r="N13" s="164"/>
      <c r="O13" s="164"/>
      <c r="P13" s="164"/>
      <c r="Q13" s="174"/>
      <c r="R13" s="164"/>
      <c r="S13" s="174"/>
      <c r="T13" s="164"/>
      <c r="U13" s="174"/>
      <c r="V13" s="159"/>
      <c r="W13" s="159"/>
      <c r="X13" s="157"/>
    </row>
    <row r="14" spans="1:24" ht="15">
      <c r="A14" s="180" t="s">
        <v>371</v>
      </c>
      <c r="B14" s="180" t="s">
        <v>371</v>
      </c>
      <c r="C14" s="182" t="s">
        <v>79</v>
      </c>
      <c r="D14" s="167"/>
      <c r="E14" s="180" t="s">
        <v>80</v>
      </c>
      <c r="F14" s="171" t="s">
        <v>705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66">
        <v>45063</v>
      </c>
      <c r="M14" s="66">
        <v>45064</v>
      </c>
      <c r="N14" s="163">
        <f>8375.42/2</f>
        <v>4187.71</v>
      </c>
      <c r="O14" s="163">
        <f>8375.42/2</f>
        <v>4187.71</v>
      </c>
      <c r="P14" s="163">
        <f>SUM(N14:O16)</f>
        <v>8375.42</v>
      </c>
      <c r="Q14" s="174">
        <v>0</v>
      </c>
      <c r="R14" s="163">
        <v>0</v>
      </c>
      <c r="S14" s="174">
        <v>0</v>
      </c>
      <c r="T14" s="163">
        <v>0</v>
      </c>
      <c r="U14" s="174">
        <v>0</v>
      </c>
      <c r="V14" s="158">
        <f t="shared" si="4"/>
        <v>8375.42</v>
      </c>
      <c r="W14" s="158">
        <f t="shared" si="5"/>
        <v>8375.42</v>
      </c>
      <c r="X14" s="157"/>
    </row>
    <row r="15" spans="1:24" ht="15">
      <c r="A15" s="183"/>
      <c r="B15" s="183"/>
      <c r="C15" s="182"/>
      <c r="D15" s="168"/>
      <c r="E15" s="183"/>
      <c r="F15" s="172"/>
      <c r="G15" s="97" t="s">
        <v>36</v>
      </c>
      <c r="H15" s="97" t="s">
        <v>127</v>
      </c>
      <c r="I15" s="97" t="s">
        <v>40</v>
      </c>
      <c r="J15" s="97" t="s">
        <v>127</v>
      </c>
      <c r="K15" s="97" t="s">
        <v>63</v>
      </c>
      <c r="L15" s="66">
        <v>45064</v>
      </c>
      <c r="M15" s="66">
        <v>45064</v>
      </c>
      <c r="N15" s="170"/>
      <c r="O15" s="170"/>
      <c r="P15" s="170"/>
      <c r="Q15" s="174"/>
      <c r="R15" s="170"/>
      <c r="S15" s="174"/>
      <c r="T15" s="170"/>
      <c r="U15" s="174"/>
      <c r="V15" s="175"/>
      <c r="W15" s="175"/>
      <c r="X15" s="157"/>
    </row>
    <row r="16" spans="1:24" ht="15">
      <c r="A16" s="181"/>
      <c r="B16" s="181"/>
      <c r="C16" s="182"/>
      <c r="D16" s="169"/>
      <c r="E16" s="181"/>
      <c r="F16" s="173"/>
      <c r="G16" s="97" t="s">
        <v>36</v>
      </c>
      <c r="H16" s="97" t="s">
        <v>39</v>
      </c>
      <c r="I16" s="97" t="s">
        <v>63</v>
      </c>
      <c r="J16" s="97" t="s">
        <v>116</v>
      </c>
      <c r="K16" s="97" t="s">
        <v>117</v>
      </c>
      <c r="L16" s="66">
        <v>45064</v>
      </c>
      <c r="M16" s="66">
        <v>45064</v>
      </c>
      <c r="N16" s="164"/>
      <c r="O16" s="164"/>
      <c r="P16" s="164"/>
      <c r="Q16" s="174"/>
      <c r="R16" s="164"/>
      <c r="S16" s="174"/>
      <c r="T16" s="164"/>
      <c r="U16" s="174"/>
      <c r="V16" s="159"/>
      <c r="W16" s="159"/>
      <c r="X16" s="157"/>
    </row>
    <row r="17" spans="1:24" ht="15">
      <c r="A17" s="180" t="s">
        <v>231</v>
      </c>
      <c r="B17" s="180" t="s">
        <v>231</v>
      </c>
      <c r="C17" s="182" t="s">
        <v>704</v>
      </c>
      <c r="D17" s="167"/>
      <c r="E17" s="180" t="s">
        <v>562</v>
      </c>
      <c r="F17" s="171" t="s">
        <v>705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66">
        <v>45063</v>
      </c>
      <c r="M17" s="66">
        <v>45064</v>
      </c>
      <c r="N17" s="163">
        <f>8219.66/2</f>
        <v>4109.83</v>
      </c>
      <c r="O17" s="163">
        <f>8219.66/2</f>
        <v>4109.83</v>
      </c>
      <c r="P17" s="163">
        <f>SUM(N17:O19)</f>
        <v>8219.66</v>
      </c>
      <c r="Q17" s="174">
        <v>0</v>
      </c>
      <c r="R17" s="163">
        <v>0</v>
      </c>
      <c r="S17" s="174">
        <v>0</v>
      </c>
      <c r="T17" s="163">
        <v>0</v>
      </c>
      <c r="U17" s="174">
        <v>0</v>
      </c>
      <c r="V17" s="158">
        <f t="shared" ref="V17" si="6">P17+U17</f>
        <v>8219.66</v>
      </c>
      <c r="W17" s="158">
        <f t="shared" ref="W17" si="7">V17</f>
        <v>8219.66</v>
      </c>
      <c r="X17" s="157"/>
    </row>
    <row r="18" spans="1:24" ht="15">
      <c r="A18" s="183"/>
      <c r="B18" s="183"/>
      <c r="C18" s="182"/>
      <c r="D18" s="168"/>
      <c r="E18" s="183"/>
      <c r="F18" s="172"/>
      <c r="G18" s="97" t="s">
        <v>36</v>
      </c>
      <c r="H18" s="97" t="s">
        <v>39</v>
      </c>
      <c r="I18" s="97" t="s">
        <v>40</v>
      </c>
      <c r="J18" s="97" t="s">
        <v>127</v>
      </c>
      <c r="K18" s="97" t="s">
        <v>63</v>
      </c>
      <c r="L18" s="66">
        <v>45064</v>
      </c>
      <c r="M18" s="66">
        <v>45064</v>
      </c>
      <c r="N18" s="170"/>
      <c r="O18" s="170"/>
      <c r="P18" s="170"/>
      <c r="Q18" s="174"/>
      <c r="R18" s="170"/>
      <c r="S18" s="174"/>
      <c r="T18" s="170"/>
      <c r="U18" s="174"/>
      <c r="V18" s="175"/>
      <c r="W18" s="175"/>
      <c r="X18" s="157"/>
    </row>
    <row r="19" spans="1:24" ht="15">
      <c r="A19" s="181"/>
      <c r="B19" s="181"/>
      <c r="C19" s="182"/>
      <c r="D19" s="169"/>
      <c r="E19" s="181"/>
      <c r="F19" s="173"/>
      <c r="G19" s="97" t="s">
        <v>36</v>
      </c>
      <c r="H19" s="97" t="s">
        <v>127</v>
      </c>
      <c r="I19" s="97" t="s">
        <v>63</v>
      </c>
      <c r="J19" s="97" t="s">
        <v>37</v>
      </c>
      <c r="K19" s="97" t="s">
        <v>38</v>
      </c>
      <c r="L19" s="66">
        <v>45064</v>
      </c>
      <c r="M19" s="66">
        <v>45064</v>
      </c>
      <c r="N19" s="164"/>
      <c r="O19" s="164"/>
      <c r="P19" s="164"/>
      <c r="Q19" s="174"/>
      <c r="R19" s="164"/>
      <c r="S19" s="174"/>
      <c r="T19" s="164"/>
      <c r="U19" s="174"/>
      <c r="V19" s="159"/>
      <c r="W19" s="159"/>
      <c r="X19" s="157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30">
      <c r="A5" s="97" t="s">
        <v>371</v>
      </c>
      <c r="B5" s="97" t="s">
        <v>371</v>
      </c>
      <c r="C5" s="97" t="s">
        <v>79</v>
      </c>
      <c r="D5" s="69">
        <v>0</v>
      </c>
      <c r="E5" s="98" t="s">
        <v>80</v>
      </c>
      <c r="F5" s="97" t="s">
        <v>706</v>
      </c>
      <c r="G5" s="97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62">
        <v>45096</v>
      </c>
      <c r="M5" s="62">
        <v>45099</v>
      </c>
      <c r="N5" s="63">
        <f>2027.55/2</f>
        <v>1013.775</v>
      </c>
      <c r="O5" s="63">
        <f>2027.55/2</f>
        <v>1013.775</v>
      </c>
      <c r="P5" s="63">
        <f t="shared" ref="P5:P15" si="0">SUM(N5:O5)</f>
        <v>2027.55</v>
      </c>
      <c r="Q5" s="93">
        <v>0</v>
      </c>
      <c r="R5" s="63">
        <v>0</v>
      </c>
      <c r="S5" s="93">
        <v>0</v>
      </c>
      <c r="T5" s="63">
        <v>0</v>
      </c>
      <c r="U5" s="90">
        <f t="shared" ref="U5:U9" si="1">Q5*R5+S5*T5</f>
        <v>0</v>
      </c>
      <c r="V5" s="90">
        <f t="shared" ref="V5:V9" si="2">P5+U5</f>
        <v>2027.55</v>
      </c>
      <c r="W5" s="90">
        <f t="shared" ref="W5:W9" si="3">V5</f>
        <v>2027.55</v>
      </c>
      <c r="X5" s="93"/>
    </row>
    <row r="6" spans="1:24" s="64" customFormat="1" ht="15">
      <c r="A6" s="97" t="s">
        <v>253</v>
      </c>
      <c r="B6" s="97" t="s">
        <v>212</v>
      </c>
      <c r="C6" s="97" t="s">
        <v>41</v>
      </c>
      <c r="D6" s="69">
        <v>129</v>
      </c>
      <c r="E6" s="97" t="s">
        <v>42</v>
      </c>
      <c r="F6" s="97" t="s">
        <v>707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2">
        <v>45090</v>
      </c>
      <c r="M6" s="62">
        <v>45093</v>
      </c>
      <c r="N6" s="63">
        <f>3267.13/2</f>
        <v>1633.5650000000001</v>
      </c>
      <c r="O6" s="63">
        <f>3267.13/2</f>
        <v>1633.5650000000001</v>
      </c>
      <c r="P6" s="63">
        <f t="shared" si="0"/>
        <v>3267.13</v>
      </c>
      <c r="Q6" s="93">
        <v>4</v>
      </c>
      <c r="R6" s="63">
        <v>120</v>
      </c>
      <c r="S6" s="93">
        <v>0</v>
      </c>
      <c r="T6" s="63">
        <v>0</v>
      </c>
      <c r="U6" s="90">
        <f t="shared" si="1"/>
        <v>480</v>
      </c>
      <c r="V6" s="90">
        <f t="shared" si="2"/>
        <v>3747.13</v>
      </c>
      <c r="W6" s="90">
        <f t="shared" si="3"/>
        <v>3747.13</v>
      </c>
      <c r="X6" s="93"/>
    </row>
    <row r="7" spans="1:24" s="64" customFormat="1" ht="15">
      <c r="A7" s="97" t="s">
        <v>371</v>
      </c>
      <c r="B7" s="97" t="s">
        <v>371</v>
      </c>
      <c r="C7" s="97" t="s">
        <v>137</v>
      </c>
      <c r="D7" s="69">
        <v>202</v>
      </c>
      <c r="E7" s="97" t="s">
        <v>700</v>
      </c>
      <c r="F7" s="97" t="s">
        <v>708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62">
        <v>45088</v>
      </c>
      <c r="M7" s="62">
        <v>45090</v>
      </c>
      <c r="N7" s="63">
        <f>1290.96/2</f>
        <v>645.48</v>
      </c>
      <c r="O7" s="63">
        <f>1290.96/2</f>
        <v>645.48</v>
      </c>
      <c r="P7" s="63">
        <f t="shared" si="0"/>
        <v>1290.96</v>
      </c>
      <c r="Q7" s="93">
        <v>3</v>
      </c>
      <c r="R7" s="63">
        <v>120</v>
      </c>
      <c r="S7" s="93">
        <v>0</v>
      </c>
      <c r="T7" s="63">
        <v>0</v>
      </c>
      <c r="U7" s="90">
        <f t="shared" si="1"/>
        <v>360</v>
      </c>
      <c r="V7" s="90">
        <f t="shared" si="2"/>
        <v>1650.96</v>
      </c>
      <c r="W7" s="90">
        <f t="shared" si="3"/>
        <v>1650.96</v>
      </c>
      <c r="X7" s="93"/>
    </row>
    <row r="8" spans="1:24" s="64" customFormat="1" ht="15">
      <c r="A8" s="97" t="s">
        <v>371</v>
      </c>
      <c r="B8" s="97" t="s">
        <v>240</v>
      </c>
      <c r="C8" s="97" t="s">
        <v>140</v>
      </c>
      <c r="D8" s="69">
        <v>230</v>
      </c>
      <c r="E8" s="97" t="s">
        <v>709</v>
      </c>
      <c r="F8" s="97" t="s">
        <v>708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62">
        <v>45088</v>
      </c>
      <c r="M8" s="62">
        <v>45090</v>
      </c>
      <c r="N8" s="63">
        <f>1290.96/2</f>
        <v>645.48</v>
      </c>
      <c r="O8" s="63">
        <f>1290.96/2</f>
        <v>645.48</v>
      </c>
      <c r="P8" s="63">
        <f t="shared" si="0"/>
        <v>1290.96</v>
      </c>
      <c r="Q8" s="93">
        <v>3</v>
      </c>
      <c r="R8" s="63">
        <v>120</v>
      </c>
      <c r="S8" s="93">
        <v>0</v>
      </c>
      <c r="T8" s="63">
        <v>0</v>
      </c>
      <c r="U8" s="90">
        <f t="shared" si="1"/>
        <v>360</v>
      </c>
      <c r="V8" s="90">
        <f t="shared" si="2"/>
        <v>1650.96</v>
      </c>
      <c r="W8" s="90">
        <f t="shared" si="3"/>
        <v>1650.96</v>
      </c>
      <c r="X8" s="93"/>
    </row>
    <row r="9" spans="1:24" s="64" customFormat="1" ht="15">
      <c r="A9" s="97" t="s">
        <v>231</v>
      </c>
      <c r="B9" s="97" t="s">
        <v>231</v>
      </c>
      <c r="C9" s="97" t="s">
        <v>704</v>
      </c>
      <c r="D9" s="69">
        <v>0</v>
      </c>
      <c r="E9" s="97" t="s">
        <v>562</v>
      </c>
      <c r="F9" s="97" t="s">
        <v>710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62">
        <v>45091</v>
      </c>
      <c r="M9" s="62">
        <v>45092</v>
      </c>
      <c r="N9" s="63">
        <f>6397.34/2</f>
        <v>3198.67</v>
      </c>
      <c r="O9" s="63">
        <f>6397.34/2</f>
        <v>3198.67</v>
      </c>
      <c r="P9" s="63">
        <f t="shared" si="0"/>
        <v>6397.34</v>
      </c>
      <c r="Q9" s="93">
        <v>0</v>
      </c>
      <c r="R9" s="63">
        <v>0</v>
      </c>
      <c r="S9" s="93">
        <v>0</v>
      </c>
      <c r="T9" s="63">
        <v>0</v>
      </c>
      <c r="U9" s="90">
        <f t="shared" si="1"/>
        <v>0</v>
      </c>
      <c r="V9" s="90">
        <f t="shared" si="2"/>
        <v>6397.34</v>
      </c>
      <c r="W9" s="90">
        <f t="shared" si="3"/>
        <v>6397.34</v>
      </c>
      <c r="X9" s="93"/>
    </row>
    <row r="10" spans="1:24" s="64" customFormat="1" ht="15">
      <c r="A10" s="97" t="s">
        <v>231</v>
      </c>
      <c r="B10" s="97" t="s">
        <v>711</v>
      </c>
      <c r="C10" s="97" t="s">
        <v>712</v>
      </c>
      <c r="D10" s="69">
        <v>0</v>
      </c>
      <c r="E10" s="97" t="s">
        <v>713</v>
      </c>
      <c r="F10" s="97" t="s">
        <v>714</v>
      </c>
      <c r="G10" s="97" t="s">
        <v>36</v>
      </c>
      <c r="H10" s="97" t="s">
        <v>39</v>
      </c>
      <c r="I10" s="97" t="s">
        <v>40</v>
      </c>
      <c r="J10" s="97" t="s">
        <v>37</v>
      </c>
      <c r="K10" s="97" t="s">
        <v>38</v>
      </c>
      <c r="L10" s="62">
        <v>45103</v>
      </c>
      <c r="M10" s="62">
        <v>45103</v>
      </c>
      <c r="N10" s="63">
        <v>2364.62</v>
      </c>
      <c r="O10" s="63">
        <v>8486.1200000000008</v>
      </c>
      <c r="P10" s="63">
        <f t="shared" si="0"/>
        <v>10850.740000000002</v>
      </c>
      <c r="Q10" s="93">
        <v>0</v>
      </c>
      <c r="R10" s="63">
        <v>0</v>
      </c>
      <c r="S10" s="93">
        <v>0</v>
      </c>
      <c r="T10" s="63">
        <v>0</v>
      </c>
      <c r="U10" s="90">
        <f t="shared" ref="U10:U15" si="4">Q10*R10+S10*T10</f>
        <v>0</v>
      </c>
      <c r="V10" s="90">
        <f t="shared" ref="V10:V15" si="5">P10+U10</f>
        <v>10850.740000000002</v>
      </c>
      <c r="W10" s="90">
        <f t="shared" ref="W10:W15" si="6">V10</f>
        <v>10850.740000000002</v>
      </c>
      <c r="X10" s="93"/>
    </row>
    <row r="11" spans="1:24" s="64" customFormat="1" ht="15">
      <c r="A11" s="97" t="s">
        <v>231</v>
      </c>
      <c r="B11" s="97" t="s">
        <v>711</v>
      </c>
      <c r="C11" s="97" t="s">
        <v>715</v>
      </c>
      <c r="D11" s="69">
        <v>0</v>
      </c>
      <c r="E11" s="97" t="s">
        <v>713</v>
      </c>
      <c r="F11" s="97" t="s">
        <v>714</v>
      </c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62">
        <v>45103</v>
      </c>
      <c r="M11" s="62">
        <v>45103</v>
      </c>
      <c r="N11" s="63">
        <v>2364.62</v>
      </c>
      <c r="O11" s="63">
        <v>8486.1200000000008</v>
      </c>
      <c r="P11" s="63">
        <f t="shared" si="0"/>
        <v>10850.740000000002</v>
      </c>
      <c r="Q11" s="93">
        <v>0</v>
      </c>
      <c r="R11" s="63">
        <v>0</v>
      </c>
      <c r="S11" s="93">
        <v>0</v>
      </c>
      <c r="T11" s="63">
        <v>0</v>
      </c>
      <c r="U11" s="90">
        <f t="shared" si="4"/>
        <v>0</v>
      </c>
      <c r="V11" s="90">
        <f t="shared" si="5"/>
        <v>10850.740000000002</v>
      </c>
      <c r="W11" s="90">
        <f t="shared" si="6"/>
        <v>10850.740000000002</v>
      </c>
      <c r="X11" s="93"/>
    </row>
    <row r="12" spans="1:24" s="64" customFormat="1" ht="15">
      <c r="A12" s="97" t="s">
        <v>231</v>
      </c>
      <c r="B12" s="97" t="s">
        <v>231</v>
      </c>
      <c r="C12" s="97" t="s">
        <v>704</v>
      </c>
      <c r="D12" s="69">
        <v>0</v>
      </c>
      <c r="E12" s="97" t="s">
        <v>562</v>
      </c>
      <c r="F12" s="97" t="s">
        <v>716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62">
        <v>45105</v>
      </c>
      <c r="M12" s="62">
        <v>45107</v>
      </c>
      <c r="N12" s="63">
        <f>857.63/2</f>
        <v>428.815</v>
      </c>
      <c r="O12" s="63">
        <f>857.63/2</f>
        <v>428.815</v>
      </c>
      <c r="P12" s="63">
        <f t="shared" si="0"/>
        <v>857.63</v>
      </c>
      <c r="Q12" s="93">
        <v>0</v>
      </c>
      <c r="R12" s="63">
        <v>0</v>
      </c>
      <c r="S12" s="93">
        <v>0</v>
      </c>
      <c r="T12" s="63">
        <v>0</v>
      </c>
      <c r="U12" s="90">
        <f t="shared" si="4"/>
        <v>0</v>
      </c>
      <c r="V12" s="90">
        <f t="shared" si="5"/>
        <v>857.63</v>
      </c>
      <c r="W12" s="90">
        <f t="shared" si="6"/>
        <v>857.63</v>
      </c>
      <c r="X12" s="93"/>
    </row>
    <row r="13" spans="1:24" s="64" customFormat="1" ht="15">
      <c r="A13" s="97" t="s">
        <v>231</v>
      </c>
      <c r="B13" s="97" t="s">
        <v>462</v>
      </c>
      <c r="C13" s="97" t="s">
        <v>401</v>
      </c>
      <c r="D13" s="69">
        <v>349</v>
      </c>
      <c r="E13" s="97" t="s">
        <v>403</v>
      </c>
      <c r="F13" s="97" t="s">
        <v>717</v>
      </c>
      <c r="G13" s="97" t="s">
        <v>36</v>
      </c>
      <c r="H13" s="97" t="s">
        <v>37</v>
      </c>
      <c r="I13" s="97" t="s">
        <v>38</v>
      </c>
      <c r="J13" s="97" t="s">
        <v>464</v>
      </c>
      <c r="K13" s="97" t="s">
        <v>425</v>
      </c>
      <c r="L13" s="62">
        <v>45076</v>
      </c>
      <c r="M13" s="62">
        <v>45079</v>
      </c>
      <c r="N13" s="63">
        <f>2382.9/2</f>
        <v>1191.45</v>
      </c>
      <c r="O13" s="63">
        <f>2382.9/2</f>
        <v>1191.45</v>
      </c>
      <c r="P13" s="63">
        <f t="shared" si="0"/>
        <v>2382.9</v>
      </c>
      <c r="Q13" s="93">
        <v>4</v>
      </c>
      <c r="R13" s="63">
        <v>120</v>
      </c>
      <c r="S13" s="93">
        <v>0</v>
      </c>
      <c r="T13" s="63">
        <v>0</v>
      </c>
      <c r="U13" s="90">
        <f t="shared" si="4"/>
        <v>480</v>
      </c>
      <c r="V13" s="90">
        <f t="shared" si="5"/>
        <v>2862.9</v>
      </c>
      <c r="W13" s="90">
        <f t="shared" si="6"/>
        <v>2862.9</v>
      </c>
      <c r="X13" s="93"/>
    </row>
    <row r="14" spans="1:24" s="64" customFormat="1" ht="45">
      <c r="A14" s="97" t="s">
        <v>253</v>
      </c>
      <c r="B14" s="97" t="s">
        <v>259</v>
      </c>
      <c r="C14" s="97" t="s">
        <v>613</v>
      </c>
      <c r="D14" s="69">
        <v>372</v>
      </c>
      <c r="E14" s="98" t="s">
        <v>191</v>
      </c>
      <c r="F14" s="97" t="s">
        <v>718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62">
        <v>45076</v>
      </c>
      <c r="M14" s="62">
        <v>45078</v>
      </c>
      <c r="N14" s="63">
        <f>5019.13/2</f>
        <v>2509.5650000000001</v>
      </c>
      <c r="O14" s="63">
        <f>5019.13/2</f>
        <v>2509.5650000000001</v>
      </c>
      <c r="P14" s="63">
        <f t="shared" si="0"/>
        <v>5019.13</v>
      </c>
      <c r="Q14" s="93">
        <v>3</v>
      </c>
      <c r="R14" s="63">
        <v>120</v>
      </c>
      <c r="S14" s="93">
        <v>0</v>
      </c>
      <c r="T14" s="63">
        <v>0</v>
      </c>
      <c r="U14" s="90">
        <f t="shared" si="4"/>
        <v>360</v>
      </c>
      <c r="V14" s="90">
        <f t="shared" si="5"/>
        <v>5379.13</v>
      </c>
      <c r="W14" s="90">
        <f t="shared" si="6"/>
        <v>5379.13</v>
      </c>
      <c r="X14" s="93"/>
    </row>
    <row r="15" spans="1:24" s="64" customFormat="1" ht="15">
      <c r="A15" s="97" t="s">
        <v>231</v>
      </c>
      <c r="B15" s="97" t="s">
        <v>231</v>
      </c>
      <c r="C15" s="97" t="s">
        <v>704</v>
      </c>
      <c r="D15" s="69">
        <v>0</v>
      </c>
      <c r="E15" s="97" t="s">
        <v>562</v>
      </c>
      <c r="F15" s="97" t="s">
        <v>719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62">
        <v>45077</v>
      </c>
      <c r="M15" s="62">
        <v>45078</v>
      </c>
      <c r="N15" s="63">
        <f>(5331.47+0.47)/2</f>
        <v>2665.9700000000003</v>
      </c>
      <c r="O15" s="63">
        <f>(5331.47+0.47)/2</f>
        <v>2665.9700000000003</v>
      </c>
      <c r="P15" s="63">
        <f t="shared" si="0"/>
        <v>5331.9400000000005</v>
      </c>
      <c r="Q15" s="93">
        <v>0</v>
      </c>
      <c r="R15" s="63">
        <v>0</v>
      </c>
      <c r="S15" s="93">
        <v>0</v>
      </c>
      <c r="T15" s="63">
        <v>0</v>
      </c>
      <c r="U15" s="90">
        <f t="shared" si="4"/>
        <v>0</v>
      </c>
      <c r="V15" s="90">
        <f t="shared" si="5"/>
        <v>5331.9400000000005</v>
      </c>
      <c r="W15" s="90">
        <f t="shared" si="6"/>
        <v>5331.9400000000005</v>
      </c>
      <c r="X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180" t="s">
        <v>371</v>
      </c>
      <c r="B5" s="180" t="s">
        <v>371</v>
      </c>
      <c r="C5" s="180" t="s">
        <v>79</v>
      </c>
      <c r="D5" s="180">
        <v>0</v>
      </c>
      <c r="E5" s="180" t="s">
        <v>80</v>
      </c>
      <c r="F5" s="180" t="s">
        <v>720</v>
      </c>
      <c r="G5" s="180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165">
        <v>45110</v>
      </c>
      <c r="M5" s="165">
        <v>45111</v>
      </c>
      <c r="N5" s="163">
        <f>3242.09/2</f>
        <v>1621.0450000000001</v>
      </c>
      <c r="O5" s="163">
        <f>3242.09/2</f>
        <v>1621.0450000000001</v>
      </c>
      <c r="P5" s="163">
        <f t="shared" ref="P5:P13" si="0">SUM(N5:O5)</f>
        <v>3242.09</v>
      </c>
      <c r="Q5" s="180">
        <v>0</v>
      </c>
      <c r="R5" s="180">
        <v>0</v>
      </c>
      <c r="S5" s="180">
        <v>0</v>
      </c>
      <c r="T5" s="180">
        <v>0</v>
      </c>
      <c r="U5" s="180">
        <f t="shared" ref="U5:U15" si="1">Q5*R5+S5*T5</f>
        <v>0</v>
      </c>
      <c r="V5" s="158">
        <f t="shared" ref="V5:V13" si="2">P5+U5</f>
        <v>3242.09</v>
      </c>
      <c r="W5" s="158">
        <f t="shared" ref="W5:W13" si="3">V5</f>
        <v>3242.09</v>
      </c>
      <c r="X5" s="180"/>
    </row>
    <row r="6" spans="1:24" s="64" customFormat="1" ht="15">
      <c r="A6" s="181"/>
      <c r="B6" s="181"/>
      <c r="C6" s="181"/>
      <c r="D6" s="181"/>
      <c r="E6" s="181"/>
      <c r="F6" s="181"/>
      <c r="G6" s="181"/>
      <c r="H6" s="97" t="s">
        <v>39</v>
      </c>
      <c r="I6" s="97" t="s">
        <v>40</v>
      </c>
      <c r="J6" s="97" t="s">
        <v>37</v>
      </c>
      <c r="K6" s="97" t="s">
        <v>38</v>
      </c>
      <c r="L6" s="166"/>
      <c r="M6" s="166"/>
      <c r="N6" s="164"/>
      <c r="O6" s="164"/>
      <c r="P6" s="164"/>
      <c r="Q6" s="181"/>
      <c r="R6" s="181"/>
      <c r="S6" s="181"/>
      <c r="T6" s="181"/>
      <c r="U6" s="181"/>
      <c r="V6" s="159"/>
      <c r="W6" s="159"/>
      <c r="X6" s="181"/>
    </row>
    <row r="7" spans="1:24" s="64" customFormat="1" ht="15">
      <c r="A7" s="97" t="s">
        <v>371</v>
      </c>
      <c r="B7" s="97" t="s">
        <v>371</v>
      </c>
      <c r="C7" s="97" t="s">
        <v>137</v>
      </c>
      <c r="D7" s="69">
        <v>202</v>
      </c>
      <c r="E7" s="97" t="s">
        <v>700</v>
      </c>
      <c r="F7" s="97" t="s">
        <v>720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62">
        <v>45110</v>
      </c>
      <c r="M7" s="62">
        <v>45111</v>
      </c>
      <c r="N7" s="94">
        <f>5098.83/2</f>
        <v>2549.415</v>
      </c>
      <c r="O7" s="94">
        <f>5098.83/2</f>
        <v>2549.415</v>
      </c>
      <c r="P7" s="94">
        <f t="shared" si="0"/>
        <v>5098.83</v>
      </c>
      <c r="Q7" s="93">
        <v>2</v>
      </c>
      <c r="R7" s="63">
        <v>120</v>
      </c>
      <c r="S7" s="93">
        <v>0</v>
      </c>
      <c r="T7" s="63">
        <v>0</v>
      </c>
      <c r="U7" s="90">
        <f t="shared" si="1"/>
        <v>240</v>
      </c>
      <c r="V7" s="90">
        <f t="shared" si="2"/>
        <v>5338.83</v>
      </c>
      <c r="W7" s="90">
        <f t="shared" si="3"/>
        <v>5338.83</v>
      </c>
      <c r="X7" s="93"/>
    </row>
    <row r="8" spans="1:24" s="64" customFormat="1" ht="15">
      <c r="A8" s="97" t="s">
        <v>371</v>
      </c>
      <c r="B8" s="97" t="s">
        <v>240</v>
      </c>
      <c r="C8" s="97" t="s">
        <v>140</v>
      </c>
      <c r="D8" s="69">
        <v>230</v>
      </c>
      <c r="E8" s="97" t="s">
        <v>709</v>
      </c>
      <c r="F8" s="97" t="s">
        <v>720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62">
        <v>45110</v>
      </c>
      <c r="M8" s="62">
        <v>45111</v>
      </c>
      <c r="N8" s="94">
        <f>5098.83/2</f>
        <v>2549.415</v>
      </c>
      <c r="O8" s="94">
        <f>5098.83/2</f>
        <v>2549.415</v>
      </c>
      <c r="P8" s="94">
        <f t="shared" si="0"/>
        <v>5098.83</v>
      </c>
      <c r="Q8" s="93">
        <v>2</v>
      </c>
      <c r="R8" s="63">
        <v>120</v>
      </c>
      <c r="S8" s="93">
        <v>0</v>
      </c>
      <c r="T8" s="63">
        <v>0</v>
      </c>
      <c r="U8" s="90">
        <f t="shared" si="1"/>
        <v>240</v>
      </c>
      <c r="V8" s="90">
        <f t="shared" si="2"/>
        <v>5338.83</v>
      </c>
      <c r="W8" s="90">
        <f t="shared" si="3"/>
        <v>5338.83</v>
      </c>
      <c r="X8" s="93"/>
    </row>
    <row r="9" spans="1:24" s="64" customFormat="1" ht="15">
      <c r="A9" s="97" t="s">
        <v>253</v>
      </c>
      <c r="B9" s="97" t="s">
        <v>212</v>
      </c>
      <c r="C9" s="97" t="s">
        <v>620</v>
      </c>
      <c r="D9" s="69">
        <v>365</v>
      </c>
      <c r="E9" s="97" t="s">
        <v>34</v>
      </c>
      <c r="F9" s="97" t="s">
        <v>721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2">
        <v>45134</v>
      </c>
      <c r="M9" s="62">
        <v>45134</v>
      </c>
      <c r="N9" s="94">
        <f>1555.13/2</f>
        <v>777.56500000000005</v>
      </c>
      <c r="O9" s="94">
        <f>1555.13/2</f>
        <v>777.56500000000005</v>
      </c>
      <c r="P9" s="94">
        <f t="shared" si="0"/>
        <v>1555.13</v>
      </c>
      <c r="Q9" s="93">
        <v>1</v>
      </c>
      <c r="R9" s="63">
        <v>120</v>
      </c>
      <c r="S9" s="93">
        <v>0</v>
      </c>
      <c r="T9" s="63">
        <v>0</v>
      </c>
      <c r="U9" s="90">
        <f t="shared" si="1"/>
        <v>120</v>
      </c>
      <c r="V9" s="90">
        <f t="shared" si="2"/>
        <v>1675.13</v>
      </c>
      <c r="W9" s="90">
        <f t="shared" si="3"/>
        <v>1675.13</v>
      </c>
      <c r="X9" s="93"/>
    </row>
    <row r="10" spans="1:24" s="64" customFormat="1" ht="15">
      <c r="A10" s="97" t="s">
        <v>253</v>
      </c>
      <c r="B10" s="97" t="s">
        <v>212</v>
      </c>
      <c r="C10" s="97" t="s">
        <v>270</v>
      </c>
      <c r="D10" s="69" t="s">
        <v>168</v>
      </c>
      <c r="E10" s="97" t="s">
        <v>599</v>
      </c>
      <c r="F10" s="97" t="s">
        <v>721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2">
        <v>45134</v>
      </c>
      <c r="M10" s="62">
        <v>45134</v>
      </c>
      <c r="N10" s="94">
        <f>3264.36/2</f>
        <v>1632.18</v>
      </c>
      <c r="O10" s="94">
        <f>3264.36/2</f>
        <v>1632.18</v>
      </c>
      <c r="P10" s="94">
        <f t="shared" si="0"/>
        <v>3264.36</v>
      </c>
      <c r="Q10" s="93">
        <v>1</v>
      </c>
      <c r="R10" s="63">
        <v>120</v>
      </c>
      <c r="S10" s="93">
        <v>0</v>
      </c>
      <c r="T10" s="63">
        <v>0</v>
      </c>
      <c r="U10" s="90">
        <f t="shared" si="1"/>
        <v>120</v>
      </c>
      <c r="V10" s="90">
        <f t="shared" si="2"/>
        <v>3384.36</v>
      </c>
      <c r="W10" s="90">
        <f t="shared" si="3"/>
        <v>3384.36</v>
      </c>
      <c r="X10" s="93"/>
    </row>
    <row r="11" spans="1:24" s="64" customFormat="1" ht="15">
      <c r="A11" s="97" t="s">
        <v>231</v>
      </c>
      <c r="B11" s="97" t="s">
        <v>231</v>
      </c>
      <c r="C11" s="97" t="s">
        <v>704</v>
      </c>
      <c r="D11" s="69">
        <v>0</v>
      </c>
      <c r="E11" s="97" t="s">
        <v>562</v>
      </c>
      <c r="F11" s="97" t="s">
        <v>722</v>
      </c>
      <c r="G11" s="97" t="s">
        <v>36</v>
      </c>
      <c r="H11" s="97" t="s">
        <v>37</v>
      </c>
      <c r="I11" s="97" t="s">
        <v>38</v>
      </c>
      <c r="J11" s="97" t="s">
        <v>464</v>
      </c>
      <c r="K11" s="97" t="s">
        <v>425</v>
      </c>
      <c r="L11" s="62">
        <v>45118</v>
      </c>
      <c r="M11" s="62">
        <v>45120</v>
      </c>
      <c r="N11" s="94">
        <v>1136.71</v>
      </c>
      <c r="O11" s="94">
        <v>1170.3800000000001</v>
      </c>
      <c r="P11" s="94">
        <f t="shared" si="0"/>
        <v>2307.09</v>
      </c>
      <c r="Q11" s="93">
        <v>0</v>
      </c>
      <c r="R11" s="63">
        <v>0</v>
      </c>
      <c r="S11" s="93">
        <v>0</v>
      </c>
      <c r="T11" s="63">
        <v>0</v>
      </c>
      <c r="U11" s="90">
        <f t="shared" ref="U11" si="4">Q11*R11+S11*T11</f>
        <v>0</v>
      </c>
      <c r="V11" s="90">
        <f t="shared" ref="V11" si="5">P11+U11</f>
        <v>2307.09</v>
      </c>
      <c r="W11" s="90">
        <f t="shared" ref="W11" si="6">V11</f>
        <v>2307.09</v>
      </c>
      <c r="X11" s="93"/>
    </row>
    <row r="12" spans="1:24" s="64" customFormat="1" ht="30">
      <c r="A12" s="97" t="s">
        <v>231</v>
      </c>
      <c r="B12" s="97" t="s">
        <v>229</v>
      </c>
      <c r="C12" s="97" t="s">
        <v>653</v>
      </c>
      <c r="D12" s="69">
        <v>343</v>
      </c>
      <c r="E12" s="97" t="s">
        <v>723</v>
      </c>
      <c r="F12" s="98" t="s">
        <v>724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62">
        <v>45138</v>
      </c>
      <c r="M12" s="62">
        <v>45139</v>
      </c>
      <c r="N12" s="94">
        <v>0</v>
      </c>
      <c r="O12" s="94">
        <v>0</v>
      </c>
      <c r="P12" s="94">
        <f t="shared" si="0"/>
        <v>0</v>
      </c>
      <c r="Q12" s="93">
        <v>0</v>
      </c>
      <c r="R12" s="63">
        <v>0</v>
      </c>
      <c r="S12" s="93">
        <v>0</v>
      </c>
      <c r="T12" s="63">
        <v>0</v>
      </c>
      <c r="U12" s="90">
        <f t="shared" si="1"/>
        <v>0</v>
      </c>
      <c r="V12" s="90">
        <f t="shared" si="2"/>
        <v>0</v>
      </c>
      <c r="W12" s="90">
        <f t="shared" si="3"/>
        <v>0</v>
      </c>
      <c r="X12" s="93"/>
    </row>
    <row r="13" spans="1:24" s="64" customFormat="1" ht="15">
      <c r="A13" s="180" t="s">
        <v>231</v>
      </c>
      <c r="B13" s="180" t="s">
        <v>231</v>
      </c>
      <c r="C13" s="180" t="s">
        <v>704</v>
      </c>
      <c r="D13" s="180">
        <v>0</v>
      </c>
      <c r="E13" s="180" t="s">
        <v>562</v>
      </c>
      <c r="F13" s="180" t="s">
        <v>75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184">
        <v>45138</v>
      </c>
      <c r="M13" s="184">
        <v>45142</v>
      </c>
      <c r="N13" s="163">
        <f>5571.04/3</f>
        <v>1857.0133333333333</v>
      </c>
      <c r="O13" s="163">
        <f>5571.04/3</f>
        <v>1857.0133333333333</v>
      </c>
      <c r="P13" s="163">
        <f t="shared" si="0"/>
        <v>3714.0266666666666</v>
      </c>
      <c r="Q13" s="180">
        <v>0</v>
      </c>
      <c r="R13" s="180">
        <v>0</v>
      </c>
      <c r="S13" s="180">
        <v>0</v>
      </c>
      <c r="T13" s="180">
        <v>0</v>
      </c>
      <c r="U13" s="180">
        <f t="shared" si="1"/>
        <v>0</v>
      </c>
      <c r="V13" s="158">
        <f t="shared" si="2"/>
        <v>3714.0266666666666</v>
      </c>
      <c r="W13" s="158">
        <f t="shared" si="3"/>
        <v>3714.0266666666666</v>
      </c>
      <c r="X13" s="180"/>
    </row>
    <row r="14" spans="1:24" s="64" customFormat="1" ht="15">
      <c r="A14" s="183"/>
      <c r="B14" s="183"/>
      <c r="C14" s="183"/>
      <c r="D14" s="183"/>
      <c r="E14" s="183"/>
      <c r="F14" s="183"/>
      <c r="G14" s="97" t="s">
        <v>36</v>
      </c>
      <c r="H14" s="97" t="s">
        <v>62</v>
      </c>
      <c r="I14" s="97" t="s">
        <v>63</v>
      </c>
      <c r="J14" s="97" t="s">
        <v>210</v>
      </c>
      <c r="K14" s="97" t="s">
        <v>725</v>
      </c>
      <c r="L14" s="183"/>
      <c r="M14" s="183"/>
      <c r="N14" s="170"/>
      <c r="O14" s="170"/>
      <c r="P14" s="170"/>
      <c r="Q14" s="183"/>
      <c r="R14" s="183"/>
      <c r="S14" s="183">
        <v>0</v>
      </c>
      <c r="T14" s="183">
        <v>0</v>
      </c>
      <c r="U14" s="183">
        <f t="shared" si="1"/>
        <v>0</v>
      </c>
      <c r="V14" s="175"/>
      <c r="W14" s="175"/>
      <c r="X14" s="183"/>
    </row>
    <row r="15" spans="1:24" s="64" customFormat="1" ht="15">
      <c r="A15" s="181"/>
      <c r="B15" s="181"/>
      <c r="C15" s="181"/>
      <c r="D15" s="181"/>
      <c r="E15" s="181"/>
      <c r="F15" s="181"/>
      <c r="G15" s="97" t="s">
        <v>36</v>
      </c>
      <c r="H15" s="97" t="s">
        <v>210</v>
      </c>
      <c r="I15" s="97" t="s">
        <v>725</v>
      </c>
      <c r="J15" s="97" t="s">
        <v>37</v>
      </c>
      <c r="K15" s="97" t="s">
        <v>38</v>
      </c>
      <c r="L15" s="181"/>
      <c r="M15" s="181"/>
      <c r="N15" s="164"/>
      <c r="O15" s="164"/>
      <c r="P15" s="164"/>
      <c r="Q15" s="181"/>
      <c r="R15" s="181"/>
      <c r="S15" s="181">
        <v>0</v>
      </c>
      <c r="T15" s="181">
        <v>0</v>
      </c>
      <c r="U15" s="181">
        <f t="shared" si="1"/>
        <v>0</v>
      </c>
      <c r="V15" s="159"/>
      <c r="W15" s="159"/>
      <c r="X15" s="181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43101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25.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371</v>
      </c>
      <c r="B5" s="97" t="s">
        <v>371</v>
      </c>
      <c r="C5" s="97" t="s">
        <v>137</v>
      </c>
      <c r="D5" s="69">
        <v>202</v>
      </c>
      <c r="E5" s="97" t="s">
        <v>700</v>
      </c>
      <c r="F5" s="97" t="s">
        <v>726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2">
        <v>45145</v>
      </c>
      <c r="M5" s="62">
        <v>45146</v>
      </c>
      <c r="N5" s="94">
        <f>1736.83/2</f>
        <v>868.41499999999996</v>
      </c>
      <c r="O5" s="94">
        <f>1736.83/2</f>
        <v>868.41499999999996</v>
      </c>
      <c r="P5" s="94">
        <f t="shared" ref="P5:P18" si="0">SUM(N5:O5)</f>
        <v>1736.83</v>
      </c>
      <c r="Q5" s="93">
        <v>2</v>
      </c>
      <c r="R5" s="63">
        <v>120</v>
      </c>
      <c r="S5" s="93">
        <v>0</v>
      </c>
      <c r="T5" s="63">
        <v>0</v>
      </c>
      <c r="U5" s="90">
        <f t="shared" ref="U5:U16" si="1">Q5*R5+S5*T5</f>
        <v>240</v>
      </c>
      <c r="V5" s="90">
        <f t="shared" ref="V5:V16" si="2">P5+U5</f>
        <v>1976.83</v>
      </c>
      <c r="W5" s="90">
        <f t="shared" ref="W5:W16" si="3">V5</f>
        <v>1976.83</v>
      </c>
      <c r="X5" s="93"/>
    </row>
    <row r="6" spans="1:24" s="64" customFormat="1" ht="15">
      <c r="A6" s="97" t="s">
        <v>371</v>
      </c>
      <c r="B6" s="97" t="s">
        <v>240</v>
      </c>
      <c r="C6" s="97" t="s">
        <v>448</v>
      </c>
      <c r="D6" s="69">
        <v>336</v>
      </c>
      <c r="E6" s="97" t="s">
        <v>727</v>
      </c>
      <c r="F6" s="97" t="s">
        <v>726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62">
        <v>45145</v>
      </c>
      <c r="M6" s="62">
        <v>45146</v>
      </c>
      <c r="N6" s="94">
        <f t="shared" ref="N6:O7" si="4">1736.83/2</f>
        <v>868.41499999999996</v>
      </c>
      <c r="O6" s="94">
        <f t="shared" si="4"/>
        <v>868.41499999999996</v>
      </c>
      <c r="P6" s="94">
        <f t="shared" si="0"/>
        <v>1736.83</v>
      </c>
      <c r="Q6" s="93">
        <v>2</v>
      </c>
      <c r="R6" s="63">
        <v>120</v>
      </c>
      <c r="S6" s="93">
        <v>0</v>
      </c>
      <c r="T6" s="63">
        <v>0</v>
      </c>
      <c r="U6" s="90">
        <f t="shared" si="1"/>
        <v>240</v>
      </c>
      <c r="V6" s="90">
        <f t="shared" si="2"/>
        <v>1976.83</v>
      </c>
      <c r="W6" s="90">
        <f t="shared" si="3"/>
        <v>1976.83</v>
      </c>
      <c r="X6" s="93"/>
    </row>
    <row r="7" spans="1:24" s="64" customFormat="1" ht="15">
      <c r="A7" s="97" t="s">
        <v>371</v>
      </c>
      <c r="B7" s="97" t="s">
        <v>240</v>
      </c>
      <c r="C7" s="97" t="s">
        <v>140</v>
      </c>
      <c r="D7" s="69">
        <v>230</v>
      </c>
      <c r="E7" s="97" t="s">
        <v>709</v>
      </c>
      <c r="F7" s="97" t="s">
        <v>726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62">
        <v>45145</v>
      </c>
      <c r="M7" s="62">
        <v>45146</v>
      </c>
      <c r="N7" s="94">
        <f t="shared" si="4"/>
        <v>868.41499999999996</v>
      </c>
      <c r="O7" s="94">
        <f t="shared" si="4"/>
        <v>868.41499999999996</v>
      </c>
      <c r="P7" s="94">
        <f t="shared" si="0"/>
        <v>1736.83</v>
      </c>
      <c r="Q7" s="93">
        <v>2</v>
      </c>
      <c r="R7" s="63">
        <v>120</v>
      </c>
      <c r="S7" s="93">
        <v>0</v>
      </c>
      <c r="T7" s="63">
        <v>0</v>
      </c>
      <c r="U7" s="90">
        <f t="shared" si="1"/>
        <v>240</v>
      </c>
      <c r="V7" s="90">
        <f t="shared" si="2"/>
        <v>1976.83</v>
      </c>
      <c r="W7" s="90">
        <f t="shared" si="3"/>
        <v>1976.83</v>
      </c>
      <c r="X7" s="93"/>
    </row>
    <row r="8" spans="1:24" s="64" customFormat="1" ht="15">
      <c r="A8" s="97" t="s">
        <v>253</v>
      </c>
      <c r="B8" s="97" t="s">
        <v>253</v>
      </c>
      <c r="C8" s="97" t="s">
        <v>387</v>
      </c>
      <c r="D8" s="69">
        <v>0</v>
      </c>
      <c r="E8" s="97" t="s">
        <v>50</v>
      </c>
      <c r="F8" s="97" t="s">
        <v>728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62">
        <v>45146</v>
      </c>
      <c r="M8" s="62">
        <v>45147</v>
      </c>
      <c r="N8" s="94">
        <f>1736.83/2</f>
        <v>868.41499999999996</v>
      </c>
      <c r="O8" s="94">
        <f>1736.83/2</f>
        <v>868.41499999999996</v>
      </c>
      <c r="P8" s="94">
        <f t="shared" si="0"/>
        <v>1736.83</v>
      </c>
      <c r="Q8" s="93">
        <v>0</v>
      </c>
      <c r="R8" s="63">
        <v>120</v>
      </c>
      <c r="S8" s="93">
        <v>0</v>
      </c>
      <c r="T8" s="63">
        <v>0</v>
      </c>
      <c r="U8" s="90">
        <f t="shared" si="1"/>
        <v>0</v>
      </c>
      <c r="V8" s="90">
        <f t="shared" si="2"/>
        <v>1736.83</v>
      </c>
      <c r="W8" s="90">
        <f t="shared" si="3"/>
        <v>1736.83</v>
      </c>
      <c r="X8" s="93"/>
    </row>
    <row r="9" spans="1:24" s="64" customFormat="1" ht="15">
      <c r="A9" s="97" t="s">
        <v>253</v>
      </c>
      <c r="B9" s="97" t="s">
        <v>253</v>
      </c>
      <c r="C9" s="97" t="s">
        <v>675</v>
      </c>
      <c r="D9" s="69">
        <v>383</v>
      </c>
      <c r="E9" s="97" t="s">
        <v>698</v>
      </c>
      <c r="F9" s="97" t="s">
        <v>728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62">
        <v>45146</v>
      </c>
      <c r="M9" s="62">
        <v>45147</v>
      </c>
      <c r="N9" s="94">
        <f>4101.45/2</f>
        <v>2050.7249999999999</v>
      </c>
      <c r="O9" s="94">
        <f>4101.45/2</f>
        <v>2050.7249999999999</v>
      </c>
      <c r="P9" s="94">
        <f t="shared" si="0"/>
        <v>4101.45</v>
      </c>
      <c r="Q9" s="93">
        <v>2</v>
      </c>
      <c r="R9" s="63">
        <v>120</v>
      </c>
      <c r="S9" s="93">
        <v>0</v>
      </c>
      <c r="T9" s="63">
        <v>0</v>
      </c>
      <c r="U9" s="90">
        <f t="shared" si="1"/>
        <v>240</v>
      </c>
      <c r="V9" s="90">
        <f t="shared" si="2"/>
        <v>4341.45</v>
      </c>
      <c r="W9" s="90">
        <f t="shared" si="3"/>
        <v>4341.45</v>
      </c>
      <c r="X9" s="93"/>
    </row>
    <row r="10" spans="1:24" s="64" customFormat="1" ht="15">
      <c r="A10" s="97" t="s">
        <v>231</v>
      </c>
      <c r="B10" s="97" t="s">
        <v>229</v>
      </c>
      <c r="C10" s="97" t="s">
        <v>729</v>
      </c>
      <c r="D10" s="69">
        <v>387</v>
      </c>
      <c r="E10" s="97" t="s">
        <v>248</v>
      </c>
      <c r="F10" s="97" t="s">
        <v>730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62">
        <v>45139</v>
      </c>
      <c r="M10" s="62">
        <v>45140</v>
      </c>
      <c r="N10" s="94">
        <f>2261.71/2</f>
        <v>1130.855</v>
      </c>
      <c r="O10" s="94">
        <f>2261.71/2</f>
        <v>1130.855</v>
      </c>
      <c r="P10" s="94">
        <f t="shared" si="0"/>
        <v>2261.71</v>
      </c>
      <c r="Q10" s="93">
        <v>2</v>
      </c>
      <c r="R10" s="63">
        <v>120</v>
      </c>
      <c r="S10" s="93">
        <v>0</v>
      </c>
      <c r="T10" s="63">
        <v>0</v>
      </c>
      <c r="U10" s="90">
        <f t="shared" si="1"/>
        <v>240</v>
      </c>
      <c r="V10" s="90">
        <f t="shared" ref="V10:V15" si="5">P10+U10</f>
        <v>2501.71</v>
      </c>
      <c r="W10" s="90">
        <f t="shared" ref="W10:W15" si="6">V10</f>
        <v>2501.71</v>
      </c>
      <c r="X10" s="93"/>
    </row>
    <row r="11" spans="1:24" s="64" customFormat="1" ht="15">
      <c r="A11" s="97" t="s">
        <v>231</v>
      </c>
      <c r="B11" s="97" t="s">
        <v>229</v>
      </c>
      <c r="C11" s="97" t="s">
        <v>731</v>
      </c>
      <c r="D11" s="69">
        <v>390</v>
      </c>
      <c r="E11" s="97" t="s">
        <v>120</v>
      </c>
      <c r="F11" s="97" t="s">
        <v>730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62">
        <v>45139</v>
      </c>
      <c r="M11" s="62">
        <v>45140</v>
      </c>
      <c r="N11" s="94">
        <f>3504.47/2</f>
        <v>1752.2349999999999</v>
      </c>
      <c r="O11" s="94">
        <f>3504.47/2</f>
        <v>1752.2349999999999</v>
      </c>
      <c r="P11" s="94">
        <f t="shared" si="0"/>
        <v>3504.47</v>
      </c>
      <c r="Q11" s="93">
        <v>2</v>
      </c>
      <c r="R11" s="63">
        <v>120</v>
      </c>
      <c r="S11" s="93">
        <v>0</v>
      </c>
      <c r="T11" s="63">
        <v>0</v>
      </c>
      <c r="U11" s="90">
        <f t="shared" si="1"/>
        <v>240</v>
      </c>
      <c r="V11" s="90">
        <f t="shared" si="5"/>
        <v>3744.47</v>
      </c>
      <c r="W11" s="90">
        <f t="shared" si="6"/>
        <v>3744.47</v>
      </c>
      <c r="X11" s="93"/>
    </row>
    <row r="12" spans="1:24" s="64" customFormat="1" ht="15">
      <c r="A12" s="97" t="s">
        <v>371</v>
      </c>
      <c r="B12" s="97" t="s">
        <v>371</v>
      </c>
      <c r="C12" s="97" t="s">
        <v>79</v>
      </c>
      <c r="D12" s="69">
        <v>0</v>
      </c>
      <c r="E12" s="97" t="s">
        <v>80</v>
      </c>
      <c r="F12" s="97" t="s">
        <v>728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62">
        <v>45146</v>
      </c>
      <c r="M12" s="62">
        <v>45148</v>
      </c>
      <c r="N12" s="94">
        <f>2023.5/2</f>
        <v>1011.75</v>
      </c>
      <c r="O12" s="94">
        <f>2023.5/2</f>
        <v>1011.75</v>
      </c>
      <c r="P12" s="94">
        <f t="shared" si="0"/>
        <v>2023.5</v>
      </c>
      <c r="Q12" s="93">
        <v>0</v>
      </c>
      <c r="R12" s="63">
        <v>120</v>
      </c>
      <c r="S12" s="93">
        <v>0</v>
      </c>
      <c r="T12" s="63">
        <v>0</v>
      </c>
      <c r="U12" s="90">
        <f t="shared" si="1"/>
        <v>0</v>
      </c>
      <c r="V12" s="90">
        <f t="shared" si="5"/>
        <v>2023.5</v>
      </c>
      <c r="W12" s="90">
        <f t="shared" si="6"/>
        <v>2023.5</v>
      </c>
      <c r="X12" s="93"/>
    </row>
    <row r="13" spans="1:24" s="64" customFormat="1" ht="15">
      <c r="A13" s="97" t="s">
        <v>253</v>
      </c>
      <c r="B13" s="97" t="s">
        <v>253</v>
      </c>
      <c r="C13" s="97" t="s">
        <v>387</v>
      </c>
      <c r="D13" s="69">
        <v>0</v>
      </c>
      <c r="E13" s="97" t="s">
        <v>50</v>
      </c>
      <c r="F13" s="97" t="s">
        <v>732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733</v>
      </c>
      <c r="L13" s="62">
        <v>45155</v>
      </c>
      <c r="M13" s="62">
        <v>45156</v>
      </c>
      <c r="N13" s="94">
        <f>2404.66/2</f>
        <v>1202.33</v>
      </c>
      <c r="O13" s="94">
        <f>2404.66/2</f>
        <v>1202.33</v>
      </c>
      <c r="P13" s="94">
        <f t="shared" si="0"/>
        <v>2404.66</v>
      </c>
      <c r="Q13" s="93">
        <v>0</v>
      </c>
      <c r="R13" s="63">
        <v>120</v>
      </c>
      <c r="S13" s="93">
        <v>0</v>
      </c>
      <c r="T13" s="63">
        <v>0</v>
      </c>
      <c r="U13" s="90">
        <f t="shared" si="1"/>
        <v>0</v>
      </c>
      <c r="V13" s="90">
        <f t="shared" si="5"/>
        <v>2404.66</v>
      </c>
      <c r="W13" s="90">
        <f t="shared" si="6"/>
        <v>2404.66</v>
      </c>
      <c r="X13" s="93"/>
    </row>
    <row r="14" spans="1:24" s="64" customFormat="1" ht="15">
      <c r="A14" s="97" t="s">
        <v>253</v>
      </c>
      <c r="B14" s="97" t="s">
        <v>253</v>
      </c>
      <c r="C14" s="97" t="s">
        <v>675</v>
      </c>
      <c r="D14" s="69">
        <v>383</v>
      </c>
      <c r="E14" s="97" t="s">
        <v>698</v>
      </c>
      <c r="F14" s="97" t="s">
        <v>732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733</v>
      </c>
      <c r="L14" s="62">
        <v>45155</v>
      </c>
      <c r="M14" s="62">
        <v>45156</v>
      </c>
      <c r="N14" s="94">
        <f>2404.66/2</f>
        <v>1202.33</v>
      </c>
      <c r="O14" s="94">
        <f>2404.66/2</f>
        <v>1202.33</v>
      </c>
      <c r="P14" s="94">
        <f t="shared" si="0"/>
        <v>2404.66</v>
      </c>
      <c r="Q14" s="93">
        <v>2</v>
      </c>
      <c r="R14" s="63">
        <v>120</v>
      </c>
      <c r="S14" s="93">
        <v>0</v>
      </c>
      <c r="T14" s="63">
        <v>0</v>
      </c>
      <c r="U14" s="90">
        <f t="shared" si="1"/>
        <v>240</v>
      </c>
      <c r="V14" s="90">
        <f>P14+U14</f>
        <v>2644.66</v>
      </c>
      <c r="W14" s="90">
        <f t="shared" si="6"/>
        <v>2644.66</v>
      </c>
      <c r="X14" s="93"/>
    </row>
    <row r="15" spans="1:24" s="64" customFormat="1" ht="15">
      <c r="A15" s="97" t="s">
        <v>253</v>
      </c>
      <c r="B15" s="97" t="s">
        <v>212</v>
      </c>
      <c r="C15" s="97" t="s">
        <v>620</v>
      </c>
      <c r="D15" s="69">
        <v>365</v>
      </c>
      <c r="E15" s="97" t="s">
        <v>34</v>
      </c>
      <c r="F15" s="97" t="s">
        <v>734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62">
        <v>45152</v>
      </c>
      <c r="M15" s="62">
        <v>45152</v>
      </c>
      <c r="N15" s="94">
        <f>1248.3/2</f>
        <v>624.15</v>
      </c>
      <c r="O15" s="94">
        <f>1248.3/2</f>
        <v>624.15</v>
      </c>
      <c r="P15" s="94">
        <f t="shared" si="0"/>
        <v>1248.3</v>
      </c>
      <c r="Q15" s="93">
        <v>1</v>
      </c>
      <c r="R15" s="63">
        <v>120</v>
      </c>
      <c r="S15" s="93">
        <v>0</v>
      </c>
      <c r="T15" s="63">
        <v>0</v>
      </c>
      <c r="U15" s="90">
        <f t="shared" si="1"/>
        <v>120</v>
      </c>
      <c r="V15" s="90">
        <f t="shared" si="5"/>
        <v>1368.3</v>
      </c>
      <c r="W15" s="90">
        <f t="shared" si="6"/>
        <v>1368.3</v>
      </c>
      <c r="X15" s="93"/>
    </row>
    <row r="16" spans="1:24" s="64" customFormat="1" ht="15">
      <c r="A16" s="97" t="s">
        <v>253</v>
      </c>
      <c r="B16" s="97" t="s">
        <v>212</v>
      </c>
      <c r="C16" s="97" t="s">
        <v>270</v>
      </c>
      <c r="D16" s="69" t="s">
        <v>168</v>
      </c>
      <c r="E16" s="97" t="s">
        <v>599</v>
      </c>
      <c r="F16" s="97" t="s">
        <v>734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62">
        <v>45152</v>
      </c>
      <c r="M16" s="62">
        <v>45152</v>
      </c>
      <c r="N16" s="94">
        <f>1248.3/2</f>
        <v>624.15</v>
      </c>
      <c r="O16" s="94">
        <f>1248.3/2</f>
        <v>624.15</v>
      </c>
      <c r="P16" s="94">
        <f t="shared" si="0"/>
        <v>1248.3</v>
      </c>
      <c r="Q16" s="93">
        <v>1</v>
      </c>
      <c r="R16" s="63">
        <v>120</v>
      </c>
      <c r="S16" s="93">
        <v>0</v>
      </c>
      <c r="T16" s="63">
        <v>0</v>
      </c>
      <c r="U16" s="90">
        <f t="shared" si="1"/>
        <v>120</v>
      </c>
      <c r="V16" s="90">
        <f t="shared" si="2"/>
        <v>1368.3</v>
      </c>
      <c r="W16" s="90">
        <f t="shared" si="3"/>
        <v>1368.3</v>
      </c>
      <c r="X16" s="93"/>
    </row>
    <row r="17" spans="1:24" s="64" customFormat="1" ht="15">
      <c r="A17" s="97" t="s">
        <v>231</v>
      </c>
      <c r="B17" s="97" t="s">
        <v>221</v>
      </c>
      <c r="C17" s="97" t="s">
        <v>54</v>
      </c>
      <c r="D17" s="69">
        <v>56</v>
      </c>
      <c r="E17" s="97" t="s">
        <v>610</v>
      </c>
      <c r="F17" s="97" t="s">
        <v>735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62">
        <v>45161</v>
      </c>
      <c r="M17" s="62">
        <v>45162</v>
      </c>
      <c r="N17" s="94">
        <f>3442.83/2</f>
        <v>1721.415</v>
      </c>
      <c r="O17" s="94">
        <f>3442.83/2</f>
        <v>1721.415</v>
      </c>
      <c r="P17" s="94">
        <f t="shared" si="0"/>
        <v>3442.83</v>
      </c>
      <c r="Q17" s="93">
        <v>0</v>
      </c>
      <c r="R17" s="63">
        <v>120</v>
      </c>
      <c r="S17" s="93">
        <v>0</v>
      </c>
      <c r="T17" s="63">
        <v>0</v>
      </c>
      <c r="U17" s="90">
        <f t="shared" ref="U17:U18" si="7">Q17*R17+S17*T17</f>
        <v>0</v>
      </c>
      <c r="V17" s="90">
        <f t="shared" ref="V17:V18" si="8">P17+U17</f>
        <v>3442.83</v>
      </c>
      <c r="W17" s="90">
        <f t="shared" ref="W17:W18" si="9">V17</f>
        <v>3442.83</v>
      </c>
      <c r="X17" s="93"/>
    </row>
    <row r="18" spans="1:24" s="64" customFormat="1" ht="15">
      <c r="A18" s="97" t="s">
        <v>253</v>
      </c>
      <c r="B18" s="97" t="s">
        <v>253</v>
      </c>
      <c r="C18" s="97" t="s">
        <v>387</v>
      </c>
      <c r="D18" s="69">
        <v>0</v>
      </c>
      <c r="E18" s="97" t="s">
        <v>50</v>
      </c>
      <c r="F18" s="97" t="s">
        <v>735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62">
        <v>45161</v>
      </c>
      <c r="M18" s="62">
        <v>45162</v>
      </c>
      <c r="N18" s="94">
        <f>3442.83/2</f>
        <v>1721.415</v>
      </c>
      <c r="O18" s="94">
        <f>3442.83/2</f>
        <v>1721.415</v>
      </c>
      <c r="P18" s="94">
        <f t="shared" si="0"/>
        <v>3442.83</v>
      </c>
      <c r="Q18" s="93">
        <v>0</v>
      </c>
      <c r="R18" s="63">
        <v>120</v>
      </c>
      <c r="S18" s="93">
        <v>0</v>
      </c>
      <c r="T18" s="63">
        <v>0</v>
      </c>
      <c r="U18" s="90">
        <f t="shared" si="7"/>
        <v>0</v>
      </c>
      <c r="V18" s="90">
        <f t="shared" si="8"/>
        <v>3442.83</v>
      </c>
      <c r="W18" s="90">
        <f t="shared" si="9"/>
        <v>3442.83</v>
      </c>
      <c r="X18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371</v>
      </c>
      <c r="B5" s="185" t="s">
        <v>240</v>
      </c>
      <c r="C5" s="97" t="s">
        <v>448</v>
      </c>
      <c r="D5" s="69">
        <v>336</v>
      </c>
      <c r="E5" s="97" t="s">
        <v>727</v>
      </c>
      <c r="F5" s="97" t="s">
        <v>736</v>
      </c>
      <c r="G5" s="97" t="s">
        <v>36</v>
      </c>
      <c r="H5" s="97" t="s">
        <v>37</v>
      </c>
      <c r="I5" s="97" t="s">
        <v>38</v>
      </c>
      <c r="J5" s="97" t="s">
        <v>199</v>
      </c>
      <c r="K5" s="97" t="s">
        <v>200</v>
      </c>
      <c r="L5" s="62">
        <v>45194</v>
      </c>
      <c r="M5" s="62">
        <v>45197</v>
      </c>
      <c r="N5" s="94">
        <f>4105.03/2</f>
        <v>2052.5149999999999</v>
      </c>
      <c r="O5" s="94">
        <f>4105.03/2</f>
        <v>2052.5149999999999</v>
      </c>
      <c r="P5" s="94">
        <f t="shared" ref="P5:P24" si="0">SUM(N5:O5)</f>
        <v>4105.03</v>
      </c>
      <c r="Q5" s="93">
        <v>4</v>
      </c>
      <c r="R5" s="63">
        <v>120</v>
      </c>
      <c r="S5" s="93">
        <v>0</v>
      </c>
      <c r="T5" s="63">
        <v>0</v>
      </c>
      <c r="U5" s="90">
        <f t="shared" ref="U5:U24" si="1">Q5*R5+S5*T5</f>
        <v>480</v>
      </c>
      <c r="V5" s="90">
        <f t="shared" ref="V5:V18" si="2">P5+U5</f>
        <v>4585.03</v>
      </c>
      <c r="W5" s="90">
        <f t="shared" ref="W5:W18" si="3">V5</f>
        <v>4585.03</v>
      </c>
      <c r="X5" s="93"/>
    </row>
    <row r="6" spans="1:24" s="64" customFormat="1" ht="15">
      <c r="A6" s="97" t="s">
        <v>371</v>
      </c>
      <c r="B6" s="185" t="s">
        <v>240</v>
      </c>
      <c r="C6" s="97" t="s">
        <v>737</v>
      </c>
      <c r="D6" s="69">
        <v>361</v>
      </c>
      <c r="E6" s="97" t="s">
        <v>60</v>
      </c>
      <c r="F6" s="97" t="s">
        <v>736</v>
      </c>
      <c r="G6" s="97" t="s">
        <v>36</v>
      </c>
      <c r="H6" s="97" t="s">
        <v>37</v>
      </c>
      <c r="I6" s="97" t="s">
        <v>38</v>
      </c>
      <c r="J6" s="97" t="s">
        <v>199</v>
      </c>
      <c r="K6" s="97" t="s">
        <v>200</v>
      </c>
      <c r="L6" s="62">
        <v>45194</v>
      </c>
      <c r="M6" s="62">
        <v>45197</v>
      </c>
      <c r="N6" s="94">
        <f>4105.03/2</f>
        <v>2052.5149999999999</v>
      </c>
      <c r="O6" s="94">
        <f>4105.03/2</f>
        <v>2052.5149999999999</v>
      </c>
      <c r="P6" s="94">
        <f t="shared" si="0"/>
        <v>4105.03</v>
      </c>
      <c r="Q6" s="93">
        <v>4</v>
      </c>
      <c r="R6" s="63">
        <v>12</v>
      </c>
      <c r="S6" s="93">
        <v>0</v>
      </c>
      <c r="T6" s="63">
        <v>0</v>
      </c>
      <c r="U6" s="90">
        <f t="shared" si="1"/>
        <v>48</v>
      </c>
      <c r="V6" s="90">
        <f t="shared" si="2"/>
        <v>4153.03</v>
      </c>
      <c r="W6" s="90">
        <f t="shared" si="3"/>
        <v>4153.03</v>
      </c>
      <c r="X6" s="93"/>
    </row>
    <row r="7" spans="1:24" s="64" customFormat="1" ht="15">
      <c r="A7" s="97" t="s">
        <v>253</v>
      </c>
      <c r="B7" s="97" t="s">
        <v>253</v>
      </c>
      <c r="C7" s="97" t="s">
        <v>387</v>
      </c>
      <c r="D7" s="69">
        <v>0</v>
      </c>
      <c r="E7" s="97" t="s">
        <v>50</v>
      </c>
      <c r="F7" s="97" t="s">
        <v>738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2">
        <v>45181</v>
      </c>
      <c r="M7" s="62">
        <v>45184</v>
      </c>
      <c r="N7" s="94">
        <f>1429/2</f>
        <v>714.5</v>
      </c>
      <c r="O7" s="94">
        <f>1429/2</f>
        <v>714.5</v>
      </c>
      <c r="P7" s="94">
        <f t="shared" si="0"/>
        <v>1429</v>
      </c>
      <c r="Q7" s="93">
        <v>0</v>
      </c>
      <c r="R7" s="63">
        <v>0</v>
      </c>
      <c r="S7" s="93">
        <v>0</v>
      </c>
      <c r="T7" s="63">
        <v>0</v>
      </c>
      <c r="U7" s="90">
        <f t="shared" si="1"/>
        <v>0</v>
      </c>
      <c r="V7" s="90">
        <f t="shared" si="2"/>
        <v>1429</v>
      </c>
      <c r="W7" s="90">
        <f t="shared" si="3"/>
        <v>1429</v>
      </c>
      <c r="X7" s="93"/>
    </row>
    <row r="8" spans="1:24" s="64" customFormat="1" ht="15">
      <c r="A8" s="97" t="s">
        <v>253</v>
      </c>
      <c r="B8" s="97" t="s">
        <v>253</v>
      </c>
      <c r="C8" s="97" t="s">
        <v>675</v>
      </c>
      <c r="D8" s="69">
        <v>383</v>
      </c>
      <c r="E8" s="97" t="s">
        <v>698</v>
      </c>
      <c r="F8" s="97" t="s">
        <v>738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2">
        <v>45181</v>
      </c>
      <c r="M8" s="62">
        <v>45184</v>
      </c>
      <c r="N8" s="94">
        <f>1478.4/2</f>
        <v>739.2</v>
      </c>
      <c r="O8" s="94">
        <f>1478.4/2</f>
        <v>739.2</v>
      </c>
      <c r="P8" s="94">
        <f t="shared" si="0"/>
        <v>1478.4</v>
      </c>
      <c r="Q8" s="93">
        <v>4</v>
      </c>
      <c r="R8" s="63">
        <v>120</v>
      </c>
      <c r="S8" s="93">
        <v>0</v>
      </c>
      <c r="T8" s="63">
        <v>0</v>
      </c>
      <c r="U8" s="90">
        <f t="shared" si="1"/>
        <v>480</v>
      </c>
      <c r="V8" s="90">
        <f t="shared" si="2"/>
        <v>1958.4</v>
      </c>
      <c r="W8" s="90">
        <f t="shared" si="3"/>
        <v>1958.4</v>
      </c>
      <c r="X8" s="93"/>
    </row>
    <row r="9" spans="1:24" s="64" customFormat="1" ht="15">
      <c r="A9" s="97" t="s">
        <v>231</v>
      </c>
      <c r="B9" s="97" t="s">
        <v>231</v>
      </c>
      <c r="C9" s="97" t="s">
        <v>704</v>
      </c>
      <c r="D9" s="69">
        <v>0</v>
      </c>
      <c r="E9" s="97" t="s">
        <v>562</v>
      </c>
      <c r="F9" s="97" t="s">
        <v>738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2">
        <v>45181</v>
      </c>
      <c r="M9" s="62">
        <v>45184</v>
      </c>
      <c r="N9" s="94">
        <v>2248.3000000000002</v>
      </c>
      <c r="O9" s="94">
        <v>1000</v>
      </c>
      <c r="P9" s="94">
        <f t="shared" si="0"/>
        <v>3248.3</v>
      </c>
      <c r="Q9" s="93">
        <v>0</v>
      </c>
      <c r="R9" s="63">
        <v>0</v>
      </c>
      <c r="S9" s="93">
        <v>0</v>
      </c>
      <c r="T9" s="63">
        <v>0</v>
      </c>
      <c r="U9" s="90">
        <f t="shared" si="1"/>
        <v>0</v>
      </c>
      <c r="V9" s="90">
        <f t="shared" si="2"/>
        <v>3248.3</v>
      </c>
      <c r="W9" s="90">
        <f t="shared" si="3"/>
        <v>3248.3</v>
      </c>
      <c r="X9" s="93"/>
    </row>
    <row r="10" spans="1:24" s="64" customFormat="1" ht="15">
      <c r="A10" s="97" t="s">
        <v>231</v>
      </c>
      <c r="B10" s="97" t="s">
        <v>241</v>
      </c>
      <c r="C10" s="97" t="s">
        <v>701</v>
      </c>
      <c r="D10" s="69">
        <v>394</v>
      </c>
      <c r="E10" s="97" t="s">
        <v>702</v>
      </c>
      <c r="F10" s="97" t="s">
        <v>738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2">
        <v>45181</v>
      </c>
      <c r="M10" s="62">
        <v>45184</v>
      </c>
      <c r="N10" s="94">
        <f>1292.4/2</f>
        <v>646.20000000000005</v>
      </c>
      <c r="O10" s="94">
        <f>1292.4/2</f>
        <v>646.20000000000005</v>
      </c>
      <c r="P10" s="94">
        <f t="shared" si="0"/>
        <v>1292.4000000000001</v>
      </c>
      <c r="Q10" s="93">
        <v>4</v>
      </c>
      <c r="R10" s="63">
        <v>120</v>
      </c>
      <c r="S10" s="93">
        <v>0</v>
      </c>
      <c r="T10" s="63">
        <v>0</v>
      </c>
      <c r="U10" s="90">
        <f t="shared" si="1"/>
        <v>480</v>
      </c>
      <c r="V10" s="90">
        <f t="shared" si="2"/>
        <v>1772.4</v>
      </c>
      <c r="W10" s="90">
        <f t="shared" si="3"/>
        <v>1772.4</v>
      </c>
      <c r="X10" s="93"/>
    </row>
    <row r="11" spans="1:24" s="64" customFormat="1" ht="15">
      <c r="A11" s="97" t="s">
        <v>231</v>
      </c>
      <c r="B11" s="97" t="s">
        <v>229</v>
      </c>
      <c r="C11" s="97" t="s">
        <v>731</v>
      </c>
      <c r="D11" s="69">
        <v>390</v>
      </c>
      <c r="E11" s="97" t="s">
        <v>120</v>
      </c>
      <c r="F11" s="97" t="s">
        <v>738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62">
        <v>45181</v>
      </c>
      <c r="M11" s="62">
        <v>45184</v>
      </c>
      <c r="N11" s="94">
        <f>1292.4/2</f>
        <v>646.20000000000005</v>
      </c>
      <c r="O11" s="94">
        <f>1292.4/2</f>
        <v>646.20000000000005</v>
      </c>
      <c r="P11" s="94">
        <f t="shared" si="0"/>
        <v>1292.4000000000001</v>
      </c>
      <c r="Q11" s="93">
        <v>4</v>
      </c>
      <c r="R11" s="63">
        <v>120</v>
      </c>
      <c r="S11" s="93">
        <v>0</v>
      </c>
      <c r="T11" s="63">
        <v>0</v>
      </c>
      <c r="U11" s="90">
        <f t="shared" si="1"/>
        <v>480</v>
      </c>
      <c r="V11" s="90">
        <f t="shared" si="2"/>
        <v>1772.4</v>
      </c>
      <c r="W11" s="90">
        <f t="shared" si="3"/>
        <v>1772.4</v>
      </c>
      <c r="X11" s="93"/>
    </row>
    <row r="12" spans="1:24" s="64" customFormat="1" ht="15">
      <c r="A12" s="97" t="s">
        <v>253</v>
      </c>
      <c r="B12" s="97" t="s">
        <v>253</v>
      </c>
      <c r="C12" s="97" t="s">
        <v>387</v>
      </c>
      <c r="D12" s="69">
        <v>0</v>
      </c>
      <c r="E12" s="97" t="s">
        <v>50</v>
      </c>
      <c r="F12" s="97" t="s">
        <v>739</v>
      </c>
      <c r="G12" s="97" t="s">
        <v>36</v>
      </c>
      <c r="H12" s="97" t="s">
        <v>37</v>
      </c>
      <c r="I12" s="97" t="s">
        <v>38</v>
      </c>
      <c r="J12" s="97" t="s">
        <v>39</v>
      </c>
      <c r="K12" s="97" t="s">
        <v>40</v>
      </c>
      <c r="L12" s="62">
        <v>45187</v>
      </c>
      <c r="M12" s="62">
        <v>45188</v>
      </c>
      <c r="N12" s="94">
        <f>1582.83/2</f>
        <v>791.41499999999996</v>
      </c>
      <c r="O12" s="94">
        <f>1582.83/2</f>
        <v>791.41499999999996</v>
      </c>
      <c r="P12" s="94">
        <f t="shared" si="0"/>
        <v>1582.83</v>
      </c>
      <c r="Q12" s="93">
        <v>0</v>
      </c>
      <c r="R12" s="63">
        <v>0</v>
      </c>
      <c r="S12" s="93">
        <v>0</v>
      </c>
      <c r="T12" s="63">
        <v>0</v>
      </c>
      <c r="U12" s="90">
        <f t="shared" si="1"/>
        <v>0</v>
      </c>
      <c r="V12" s="90">
        <f t="shared" si="2"/>
        <v>1582.83</v>
      </c>
      <c r="W12" s="90">
        <f t="shared" si="3"/>
        <v>1582.83</v>
      </c>
      <c r="X12" s="93"/>
    </row>
    <row r="13" spans="1:24" s="64" customFormat="1" ht="15">
      <c r="A13" s="97" t="s">
        <v>253</v>
      </c>
      <c r="B13" s="97" t="s">
        <v>212</v>
      </c>
      <c r="C13" s="97" t="s">
        <v>404</v>
      </c>
      <c r="D13" s="69">
        <v>345</v>
      </c>
      <c r="E13" s="97" t="s">
        <v>406</v>
      </c>
      <c r="F13" s="97" t="s">
        <v>739</v>
      </c>
      <c r="G13" s="97" t="s">
        <v>36</v>
      </c>
      <c r="H13" s="97" t="s">
        <v>37</v>
      </c>
      <c r="I13" s="97" t="s">
        <v>38</v>
      </c>
      <c r="J13" s="97" t="s">
        <v>39</v>
      </c>
      <c r="K13" s="97" t="s">
        <v>40</v>
      </c>
      <c r="L13" s="62">
        <v>45187</v>
      </c>
      <c r="M13" s="62">
        <v>45188</v>
      </c>
      <c r="N13" s="94">
        <f>1758.83/2</f>
        <v>879.41499999999996</v>
      </c>
      <c r="O13" s="94">
        <f>1758.83/2</f>
        <v>879.41499999999996</v>
      </c>
      <c r="P13" s="94">
        <f t="shared" si="0"/>
        <v>1758.83</v>
      </c>
      <c r="Q13" s="93">
        <v>2</v>
      </c>
      <c r="R13" s="63">
        <v>120</v>
      </c>
      <c r="S13" s="93">
        <v>0</v>
      </c>
      <c r="T13" s="63">
        <v>0</v>
      </c>
      <c r="U13" s="90">
        <f t="shared" si="1"/>
        <v>240</v>
      </c>
      <c r="V13" s="90">
        <f t="shared" si="2"/>
        <v>1998.83</v>
      </c>
      <c r="W13" s="90">
        <f t="shared" si="3"/>
        <v>1998.83</v>
      </c>
      <c r="X13" s="93"/>
    </row>
    <row r="14" spans="1:24" s="64" customFormat="1" ht="15">
      <c r="A14" s="97" t="s">
        <v>253</v>
      </c>
      <c r="B14" s="97" t="s">
        <v>322</v>
      </c>
      <c r="C14" s="97" t="s">
        <v>323</v>
      </c>
      <c r="D14" s="69">
        <v>204</v>
      </c>
      <c r="E14" s="97" t="s">
        <v>652</v>
      </c>
      <c r="F14" s="97" t="s">
        <v>740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414</v>
      </c>
      <c r="L14" s="62">
        <v>45188</v>
      </c>
      <c r="M14" s="62">
        <v>45189</v>
      </c>
      <c r="N14" s="94">
        <f>1507.43/2</f>
        <v>753.71500000000003</v>
      </c>
      <c r="O14" s="94">
        <f>1507.43/2</f>
        <v>753.71500000000003</v>
      </c>
      <c r="P14" s="94">
        <f t="shared" si="0"/>
        <v>1507.43</v>
      </c>
      <c r="Q14" s="93">
        <v>2</v>
      </c>
      <c r="R14" s="63">
        <v>120</v>
      </c>
      <c r="S14" s="93">
        <v>0</v>
      </c>
      <c r="T14" s="63">
        <v>0</v>
      </c>
      <c r="U14" s="90">
        <f t="shared" si="1"/>
        <v>240</v>
      </c>
      <c r="V14" s="90">
        <f>P14+U14</f>
        <v>1747.43</v>
      </c>
      <c r="W14" s="90">
        <f t="shared" si="3"/>
        <v>1747.43</v>
      </c>
      <c r="X14" s="93"/>
    </row>
    <row r="15" spans="1:24" s="64" customFormat="1" ht="15">
      <c r="A15" s="97" t="s">
        <v>371</v>
      </c>
      <c r="B15" s="97" t="s">
        <v>371</v>
      </c>
      <c r="C15" s="97" t="s">
        <v>137</v>
      </c>
      <c r="D15" s="69">
        <v>202</v>
      </c>
      <c r="E15" s="97" t="s">
        <v>700</v>
      </c>
      <c r="F15" s="97" t="s">
        <v>741</v>
      </c>
      <c r="G15" s="97" t="s">
        <v>36</v>
      </c>
      <c r="H15" s="97" t="s">
        <v>37</v>
      </c>
      <c r="I15" s="97" t="s">
        <v>38</v>
      </c>
      <c r="J15" s="97" t="s">
        <v>39</v>
      </c>
      <c r="K15" s="97" t="s">
        <v>40</v>
      </c>
      <c r="L15" s="62">
        <v>45181</v>
      </c>
      <c r="M15" s="62">
        <v>45182</v>
      </c>
      <c r="N15" s="94">
        <f>3435.31/2</f>
        <v>1717.655</v>
      </c>
      <c r="O15" s="94">
        <f>3435.31/2</f>
        <v>1717.655</v>
      </c>
      <c r="P15" s="94">
        <f t="shared" si="0"/>
        <v>3435.31</v>
      </c>
      <c r="Q15" s="93">
        <v>2</v>
      </c>
      <c r="R15" s="63">
        <v>120</v>
      </c>
      <c r="S15" s="93">
        <v>0</v>
      </c>
      <c r="T15" s="63">
        <v>0</v>
      </c>
      <c r="U15" s="90">
        <f t="shared" si="1"/>
        <v>240</v>
      </c>
      <c r="V15" s="90">
        <f t="shared" si="2"/>
        <v>3675.31</v>
      </c>
      <c r="W15" s="90">
        <f t="shared" si="3"/>
        <v>3675.31</v>
      </c>
      <c r="X15" s="93"/>
    </row>
    <row r="16" spans="1:24" s="64" customFormat="1" ht="15">
      <c r="A16" s="97" t="s">
        <v>231</v>
      </c>
      <c r="B16" s="97" t="s">
        <v>221</v>
      </c>
      <c r="C16" s="97" t="s">
        <v>54</v>
      </c>
      <c r="D16" s="69">
        <v>56</v>
      </c>
      <c r="E16" s="97" t="s">
        <v>610</v>
      </c>
      <c r="F16" s="97" t="s">
        <v>742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62">
        <v>45173</v>
      </c>
      <c r="M16" s="62">
        <v>45174</v>
      </c>
      <c r="N16" s="94">
        <f>3863.08/2</f>
        <v>1931.54</v>
      </c>
      <c r="O16" s="94">
        <f>3863.08/2</f>
        <v>1931.54</v>
      </c>
      <c r="P16" s="94">
        <f t="shared" si="0"/>
        <v>3863.08</v>
      </c>
      <c r="Q16" s="93">
        <v>2</v>
      </c>
      <c r="R16" s="63">
        <v>120</v>
      </c>
      <c r="S16" s="93">
        <v>0</v>
      </c>
      <c r="T16" s="63">
        <v>0</v>
      </c>
      <c r="U16" s="90">
        <f t="shared" si="1"/>
        <v>240</v>
      </c>
      <c r="V16" s="90">
        <f t="shared" si="2"/>
        <v>4103.08</v>
      </c>
      <c r="W16" s="90">
        <f t="shared" si="3"/>
        <v>4103.08</v>
      </c>
      <c r="X16" s="93"/>
    </row>
    <row r="17" spans="1:24" s="64" customFormat="1" ht="15">
      <c r="A17" s="97" t="s">
        <v>231</v>
      </c>
      <c r="B17" s="97" t="s">
        <v>229</v>
      </c>
      <c r="C17" s="97" t="s">
        <v>65</v>
      </c>
      <c r="D17" s="69">
        <v>195</v>
      </c>
      <c r="E17" s="97" t="s">
        <v>743</v>
      </c>
      <c r="F17" s="97" t="s">
        <v>744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391</v>
      </c>
      <c r="L17" s="62">
        <v>45180</v>
      </c>
      <c r="M17" s="62">
        <v>45181</v>
      </c>
      <c r="N17" s="94">
        <f>2142.13/2</f>
        <v>1071.0650000000001</v>
      </c>
      <c r="O17" s="94">
        <f>2142.13/2</f>
        <v>1071.0650000000001</v>
      </c>
      <c r="P17" s="94">
        <f t="shared" si="0"/>
        <v>2142.13</v>
      </c>
      <c r="Q17" s="93">
        <v>2</v>
      </c>
      <c r="R17" s="63">
        <v>120</v>
      </c>
      <c r="S17" s="93">
        <v>0</v>
      </c>
      <c r="T17" s="63">
        <v>0</v>
      </c>
      <c r="U17" s="90">
        <f t="shared" si="1"/>
        <v>240</v>
      </c>
      <c r="V17" s="90">
        <f t="shared" si="2"/>
        <v>2382.13</v>
      </c>
      <c r="W17" s="90">
        <f t="shared" si="3"/>
        <v>2382.13</v>
      </c>
      <c r="X17" s="93"/>
    </row>
    <row r="18" spans="1:24" s="64" customFormat="1" ht="15">
      <c r="A18" s="97" t="s">
        <v>371</v>
      </c>
      <c r="B18" s="97" t="s">
        <v>226</v>
      </c>
      <c r="C18" s="97" t="s">
        <v>46</v>
      </c>
      <c r="D18" s="69">
        <v>232</v>
      </c>
      <c r="E18" s="97" t="s">
        <v>47</v>
      </c>
      <c r="F18" s="97" t="s">
        <v>745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62">
        <v>45189</v>
      </c>
      <c r="M18" s="62">
        <v>45190</v>
      </c>
      <c r="N18" s="94">
        <f>2455.83/2</f>
        <v>1227.915</v>
      </c>
      <c r="O18" s="94">
        <f>2455.83/2</f>
        <v>1227.915</v>
      </c>
      <c r="P18" s="94">
        <f t="shared" si="0"/>
        <v>2455.83</v>
      </c>
      <c r="Q18" s="93">
        <v>2</v>
      </c>
      <c r="R18" s="63">
        <v>120</v>
      </c>
      <c r="S18" s="93">
        <v>0</v>
      </c>
      <c r="T18" s="63">
        <v>0</v>
      </c>
      <c r="U18" s="90">
        <f t="shared" si="1"/>
        <v>240</v>
      </c>
      <c r="V18" s="90">
        <f t="shared" si="2"/>
        <v>2695.83</v>
      </c>
      <c r="W18" s="90">
        <f t="shared" si="3"/>
        <v>2695.83</v>
      </c>
      <c r="X18" s="93"/>
    </row>
    <row r="19" spans="1:24" s="64" customFormat="1" ht="15">
      <c r="A19" s="97" t="s">
        <v>231</v>
      </c>
      <c r="B19" s="97" t="s">
        <v>215</v>
      </c>
      <c r="C19" s="97" t="s">
        <v>746</v>
      </c>
      <c r="D19" s="69">
        <v>386</v>
      </c>
      <c r="E19" s="97" t="s">
        <v>218</v>
      </c>
      <c r="F19" s="97" t="s">
        <v>747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62">
        <v>45187</v>
      </c>
      <c r="M19" s="62">
        <v>45188</v>
      </c>
      <c r="N19" s="94">
        <f>3131.42/2</f>
        <v>1565.71</v>
      </c>
      <c r="O19" s="94">
        <f>3131.42/2</f>
        <v>1565.71</v>
      </c>
      <c r="P19" s="94">
        <f t="shared" si="0"/>
        <v>3131.42</v>
      </c>
      <c r="Q19" s="93">
        <v>2</v>
      </c>
      <c r="R19" s="63">
        <v>120</v>
      </c>
      <c r="S19" s="93">
        <v>0</v>
      </c>
      <c r="T19" s="63">
        <v>0</v>
      </c>
      <c r="U19" s="90">
        <f t="shared" si="1"/>
        <v>240</v>
      </c>
      <c r="V19" s="90">
        <f t="shared" ref="V19:V24" si="4">P19+U19</f>
        <v>3371.42</v>
      </c>
      <c r="W19" s="90">
        <f t="shared" ref="W19:W24" si="5">V19</f>
        <v>3371.42</v>
      </c>
      <c r="X19" s="93"/>
    </row>
    <row r="20" spans="1:24" s="64" customFormat="1" ht="15">
      <c r="A20" s="97" t="s">
        <v>371</v>
      </c>
      <c r="B20" s="185" t="s">
        <v>240</v>
      </c>
      <c r="C20" s="97" t="s">
        <v>140</v>
      </c>
      <c r="D20" s="69">
        <v>230</v>
      </c>
      <c r="E20" s="97" t="s">
        <v>709</v>
      </c>
      <c r="F20" s="97" t="s">
        <v>748</v>
      </c>
      <c r="G20" s="97" t="s">
        <v>36</v>
      </c>
      <c r="H20" s="97" t="s">
        <v>37</v>
      </c>
      <c r="I20" s="97" t="s">
        <v>38</v>
      </c>
      <c r="J20" s="97" t="s">
        <v>39</v>
      </c>
      <c r="K20" s="97" t="s">
        <v>40</v>
      </c>
      <c r="L20" s="62">
        <v>45186</v>
      </c>
      <c r="M20" s="62">
        <v>45188</v>
      </c>
      <c r="N20" s="94">
        <f>(3131.42+375)/2</f>
        <v>1753.21</v>
      </c>
      <c r="O20" s="94">
        <f>(3131.42+375)/2</f>
        <v>1753.21</v>
      </c>
      <c r="P20" s="94">
        <f t="shared" si="0"/>
        <v>3506.42</v>
      </c>
      <c r="Q20" s="93">
        <v>3</v>
      </c>
      <c r="R20" s="63">
        <v>120</v>
      </c>
      <c r="S20" s="93">
        <v>0</v>
      </c>
      <c r="T20" s="63">
        <v>0</v>
      </c>
      <c r="U20" s="90">
        <f t="shared" si="1"/>
        <v>360</v>
      </c>
      <c r="V20" s="90">
        <f t="shared" si="4"/>
        <v>3866.42</v>
      </c>
      <c r="W20" s="90">
        <f t="shared" si="5"/>
        <v>3866.42</v>
      </c>
      <c r="X20" s="93"/>
    </row>
    <row r="21" spans="1:24" s="64" customFormat="1" ht="15">
      <c r="A21" s="97" t="s">
        <v>231</v>
      </c>
      <c r="B21" s="97" t="s">
        <v>229</v>
      </c>
      <c r="C21" s="97" t="s">
        <v>173</v>
      </c>
      <c r="D21" s="69">
        <v>127</v>
      </c>
      <c r="E21" s="97" t="s">
        <v>749</v>
      </c>
      <c r="F21" s="97" t="s">
        <v>750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391</v>
      </c>
      <c r="L21" s="62">
        <v>45180</v>
      </c>
      <c r="M21" s="62">
        <v>45181</v>
      </c>
      <c r="N21" s="94">
        <f>2142.13/2</f>
        <v>1071.0650000000001</v>
      </c>
      <c r="O21" s="94">
        <f>2142.13/2</f>
        <v>1071.0650000000001</v>
      </c>
      <c r="P21" s="94">
        <f t="shared" si="0"/>
        <v>2142.13</v>
      </c>
      <c r="Q21" s="93">
        <v>2</v>
      </c>
      <c r="R21" s="63">
        <v>120</v>
      </c>
      <c r="S21" s="93">
        <v>0</v>
      </c>
      <c r="T21" s="63">
        <v>0</v>
      </c>
      <c r="U21" s="90">
        <f t="shared" si="1"/>
        <v>240</v>
      </c>
      <c r="V21" s="90">
        <f t="shared" si="4"/>
        <v>2382.13</v>
      </c>
      <c r="W21" s="90">
        <f t="shared" si="5"/>
        <v>2382.13</v>
      </c>
      <c r="X21" s="93"/>
    </row>
    <row r="22" spans="1:24" s="64" customFormat="1" ht="15">
      <c r="A22" s="97" t="s">
        <v>231</v>
      </c>
      <c r="B22" s="97" t="s">
        <v>231</v>
      </c>
      <c r="C22" s="97" t="s">
        <v>704</v>
      </c>
      <c r="D22" s="69">
        <v>0</v>
      </c>
      <c r="E22" s="97" t="s">
        <v>562</v>
      </c>
      <c r="F22" s="97" t="s">
        <v>75</v>
      </c>
      <c r="G22" s="97" t="s">
        <v>36</v>
      </c>
      <c r="H22" s="97" t="s">
        <v>37</v>
      </c>
      <c r="I22" s="97" t="s">
        <v>38</v>
      </c>
      <c r="J22" s="97" t="s">
        <v>464</v>
      </c>
      <c r="K22" s="97" t="s">
        <v>425</v>
      </c>
      <c r="L22" s="62">
        <v>45179</v>
      </c>
      <c r="M22" s="62">
        <v>45180</v>
      </c>
      <c r="N22" s="94">
        <f>5340.73/2</f>
        <v>2670.3649999999998</v>
      </c>
      <c r="O22" s="94">
        <f>5340.73/2</f>
        <v>2670.3649999999998</v>
      </c>
      <c r="P22" s="94">
        <f t="shared" si="0"/>
        <v>5340.73</v>
      </c>
      <c r="Q22" s="93">
        <v>0</v>
      </c>
      <c r="R22" s="63">
        <v>0</v>
      </c>
      <c r="S22" s="93">
        <v>0</v>
      </c>
      <c r="T22" s="63">
        <v>0</v>
      </c>
      <c r="U22" s="90">
        <f t="shared" si="1"/>
        <v>0</v>
      </c>
      <c r="V22" s="90">
        <f t="shared" si="4"/>
        <v>5340.73</v>
      </c>
      <c r="W22" s="90">
        <f t="shared" si="5"/>
        <v>5340.73</v>
      </c>
      <c r="X22" s="93"/>
    </row>
    <row r="23" spans="1:24" s="64" customFormat="1" ht="15">
      <c r="A23" s="97" t="s">
        <v>231</v>
      </c>
      <c r="B23" s="97" t="s">
        <v>231</v>
      </c>
      <c r="C23" s="97" t="s">
        <v>704</v>
      </c>
      <c r="D23" s="69">
        <v>0</v>
      </c>
      <c r="E23" s="97" t="s">
        <v>562</v>
      </c>
      <c r="F23" s="97" t="s">
        <v>751</v>
      </c>
      <c r="G23" s="97" t="s">
        <v>36</v>
      </c>
      <c r="H23" s="97" t="s">
        <v>37</v>
      </c>
      <c r="I23" s="97" t="s">
        <v>38</v>
      </c>
      <c r="J23" s="97" t="s">
        <v>148</v>
      </c>
      <c r="K23" s="97" t="s">
        <v>149</v>
      </c>
      <c r="L23" s="62">
        <v>45196</v>
      </c>
      <c r="M23" s="62">
        <v>45198</v>
      </c>
      <c r="N23" s="94">
        <f>1084.7/2</f>
        <v>542.35</v>
      </c>
      <c r="O23" s="94">
        <f>1084.7/2</f>
        <v>542.35</v>
      </c>
      <c r="P23" s="94">
        <f t="shared" si="0"/>
        <v>1084.7</v>
      </c>
      <c r="Q23" s="93">
        <v>0</v>
      </c>
      <c r="R23" s="63">
        <v>0</v>
      </c>
      <c r="S23" s="93">
        <v>0</v>
      </c>
      <c r="T23" s="63">
        <v>0</v>
      </c>
      <c r="U23" s="90">
        <f t="shared" si="1"/>
        <v>0</v>
      </c>
      <c r="V23" s="90">
        <f t="shared" si="4"/>
        <v>1084.7</v>
      </c>
      <c r="W23" s="90">
        <f t="shared" si="5"/>
        <v>1084.7</v>
      </c>
      <c r="X23" s="93"/>
    </row>
    <row r="24" spans="1:24" s="64" customFormat="1" ht="15">
      <c r="A24" s="97" t="s">
        <v>371</v>
      </c>
      <c r="B24" s="97" t="s">
        <v>371</v>
      </c>
      <c r="C24" s="97" t="s">
        <v>79</v>
      </c>
      <c r="D24" s="69">
        <v>0</v>
      </c>
      <c r="E24" s="97" t="s">
        <v>80</v>
      </c>
      <c r="F24" s="97" t="s">
        <v>161</v>
      </c>
      <c r="G24" s="97" t="s">
        <v>36</v>
      </c>
      <c r="H24" s="97" t="s">
        <v>37</v>
      </c>
      <c r="I24" s="97" t="s">
        <v>38</v>
      </c>
      <c r="J24" s="97" t="s">
        <v>39</v>
      </c>
      <c r="K24" s="97" t="s">
        <v>40</v>
      </c>
      <c r="L24" s="62">
        <v>45188</v>
      </c>
      <c r="M24" s="62">
        <v>45189</v>
      </c>
      <c r="N24" s="94">
        <f>2870.29/2</f>
        <v>1435.145</v>
      </c>
      <c r="O24" s="94">
        <f>2870.29/2</f>
        <v>1435.145</v>
      </c>
      <c r="P24" s="94">
        <f t="shared" si="0"/>
        <v>2870.29</v>
      </c>
      <c r="Q24" s="93">
        <v>0</v>
      </c>
      <c r="R24" s="63">
        <v>0</v>
      </c>
      <c r="S24" s="93">
        <v>0</v>
      </c>
      <c r="T24" s="63">
        <v>0</v>
      </c>
      <c r="U24" s="90">
        <f t="shared" si="1"/>
        <v>0</v>
      </c>
      <c r="V24" s="90">
        <f t="shared" si="4"/>
        <v>2870.29</v>
      </c>
      <c r="W24" s="90">
        <f t="shared" si="5"/>
        <v>2870.29</v>
      </c>
      <c r="X24" s="93"/>
    </row>
    <row r="25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371</v>
      </c>
      <c r="B5" s="185" t="s">
        <v>273</v>
      </c>
      <c r="C5" s="97" t="s">
        <v>752</v>
      </c>
      <c r="D5" s="69">
        <v>384</v>
      </c>
      <c r="E5" s="97" t="s">
        <v>753</v>
      </c>
      <c r="F5" s="97" t="s">
        <v>754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62">
        <v>45225</v>
      </c>
      <c r="M5" s="62">
        <v>45226</v>
      </c>
      <c r="N5" s="94">
        <f>1857.25/2</f>
        <v>928.625</v>
      </c>
      <c r="O5" s="94">
        <f>1857.25/2</f>
        <v>928.625</v>
      </c>
      <c r="P5" s="94">
        <f t="shared" ref="P5:P30" si="0">SUM(N5:O5)</f>
        <v>1857.25</v>
      </c>
      <c r="Q5" s="93">
        <v>2</v>
      </c>
      <c r="R5" s="63">
        <v>120</v>
      </c>
      <c r="S5" s="93">
        <v>0</v>
      </c>
      <c r="T5" s="63">
        <v>0</v>
      </c>
      <c r="U5" s="90">
        <f t="shared" ref="U5:U30" si="1">Q5*R5+S5*T5</f>
        <v>240</v>
      </c>
      <c r="V5" s="90">
        <f t="shared" ref="V5:V25" si="2">P5+U5</f>
        <v>2097.25</v>
      </c>
      <c r="W5" s="90">
        <f t="shared" ref="W5:W25" si="3">V5</f>
        <v>2097.25</v>
      </c>
      <c r="X5" s="93"/>
    </row>
    <row r="6" spans="1:24" s="64" customFormat="1" ht="15">
      <c r="A6" s="97" t="s">
        <v>253</v>
      </c>
      <c r="B6" s="185" t="s">
        <v>288</v>
      </c>
      <c r="C6" s="97" t="s">
        <v>642</v>
      </c>
      <c r="D6" s="69">
        <v>252</v>
      </c>
      <c r="E6" s="98" t="s">
        <v>755</v>
      </c>
      <c r="F6" s="97" t="s">
        <v>756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2">
        <v>45198</v>
      </c>
      <c r="M6" s="62">
        <v>45215</v>
      </c>
      <c r="N6" s="94">
        <f>1941.13/2</f>
        <v>970.56500000000005</v>
      </c>
      <c r="O6" s="94">
        <f>1941.13/2</f>
        <v>970.56500000000005</v>
      </c>
      <c r="P6" s="94">
        <f t="shared" si="0"/>
        <v>1941.13</v>
      </c>
      <c r="Q6" s="93">
        <v>18</v>
      </c>
      <c r="R6" s="63">
        <v>120</v>
      </c>
      <c r="S6" s="93">
        <v>0</v>
      </c>
      <c r="T6" s="63">
        <v>0</v>
      </c>
      <c r="U6" s="90">
        <f t="shared" ref="U6" si="4">Q6*R6+S6*T6</f>
        <v>2160</v>
      </c>
      <c r="V6" s="90">
        <f t="shared" ref="V6" si="5">P6+U6</f>
        <v>4101.13</v>
      </c>
      <c r="W6" s="90">
        <f t="shared" ref="W6" si="6">V6</f>
        <v>4101.13</v>
      </c>
      <c r="X6" s="93"/>
    </row>
    <row r="7" spans="1:24" s="64" customFormat="1" ht="30">
      <c r="A7" s="97" t="s">
        <v>371</v>
      </c>
      <c r="B7" s="185" t="s">
        <v>240</v>
      </c>
      <c r="C7" s="97" t="s">
        <v>140</v>
      </c>
      <c r="D7" s="69">
        <v>230</v>
      </c>
      <c r="E7" s="97" t="s">
        <v>709</v>
      </c>
      <c r="F7" s="98" t="s">
        <v>757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62">
        <v>45216</v>
      </c>
      <c r="M7" s="62">
        <v>45219</v>
      </c>
      <c r="N7" s="94">
        <f>2164.49/2</f>
        <v>1082.2449999999999</v>
      </c>
      <c r="O7" s="94">
        <f>2164.49/2</f>
        <v>1082.2449999999999</v>
      </c>
      <c r="P7" s="94">
        <f t="shared" si="0"/>
        <v>2164.4899999999998</v>
      </c>
      <c r="Q7" s="93">
        <v>4</v>
      </c>
      <c r="R7" s="63">
        <v>120</v>
      </c>
      <c r="S7" s="93">
        <v>0</v>
      </c>
      <c r="T7" s="63">
        <v>0</v>
      </c>
      <c r="U7" s="90">
        <f t="shared" ref="U7" si="7">Q7*R7+S7*T7</f>
        <v>480</v>
      </c>
      <c r="V7" s="90">
        <f t="shared" ref="V7" si="8">P7+U7</f>
        <v>2644.49</v>
      </c>
      <c r="W7" s="90">
        <f t="shared" ref="W7" si="9">V7</f>
        <v>2644.49</v>
      </c>
      <c r="X7" s="93"/>
    </row>
    <row r="8" spans="1:24" s="64" customFormat="1" ht="15">
      <c r="A8" s="97" t="s">
        <v>371</v>
      </c>
      <c r="B8" s="185" t="s">
        <v>240</v>
      </c>
      <c r="C8" s="97" t="s">
        <v>477</v>
      </c>
      <c r="D8" s="69">
        <v>280</v>
      </c>
      <c r="E8" s="97" t="s">
        <v>758</v>
      </c>
      <c r="F8" s="97" t="s">
        <v>754</v>
      </c>
      <c r="G8" s="97" t="s">
        <v>36</v>
      </c>
      <c r="H8" s="97" t="s">
        <v>37</v>
      </c>
      <c r="I8" s="97" t="s">
        <v>38</v>
      </c>
      <c r="J8" s="97" t="s">
        <v>116</v>
      </c>
      <c r="K8" s="97" t="s">
        <v>117</v>
      </c>
      <c r="L8" s="62">
        <v>45225</v>
      </c>
      <c r="M8" s="62">
        <v>45226</v>
      </c>
      <c r="N8" s="94">
        <f>1816.7/2</f>
        <v>908.35</v>
      </c>
      <c r="O8" s="94">
        <f>1816.7/2</f>
        <v>908.35</v>
      </c>
      <c r="P8" s="94">
        <f t="shared" si="0"/>
        <v>1816.7</v>
      </c>
      <c r="Q8" s="93">
        <v>2</v>
      </c>
      <c r="R8" s="63">
        <v>120</v>
      </c>
      <c r="S8" s="93">
        <v>0</v>
      </c>
      <c r="T8" s="63">
        <v>0</v>
      </c>
      <c r="U8" s="90">
        <f t="shared" si="1"/>
        <v>240</v>
      </c>
      <c r="V8" s="90">
        <f t="shared" si="2"/>
        <v>2056.6999999999998</v>
      </c>
      <c r="W8" s="90">
        <f t="shared" si="3"/>
        <v>2056.6999999999998</v>
      </c>
      <c r="X8" s="93"/>
    </row>
    <row r="9" spans="1:24" s="64" customFormat="1" ht="15">
      <c r="A9" s="97" t="s">
        <v>253</v>
      </c>
      <c r="B9" s="97" t="s">
        <v>322</v>
      </c>
      <c r="C9" s="97" t="s">
        <v>327</v>
      </c>
      <c r="D9" s="69">
        <v>87</v>
      </c>
      <c r="E9" s="97" t="s">
        <v>329</v>
      </c>
      <c r="F9" s="97" t="s">
        <v>759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62">
        <v>45218</v>
      </c>
      <c r="M9" s="62">
        <v>45219</v>
      </c>
      <c r="N9" s="94">
        <f>2022.63/2</f>
        <v>1011.3150000000001</v>
      </c>
      <c r="O9" s="94">
        <f>2022.63/2</f>
        <v>1011.3150000000001</v>
      </c>
      <c r="P9" s="94">
        <f t="shared" si="0"/>
        <v>2022.63</v>
      </c>
      <c r="Q9" s="93">
        <v>2</v>
      </c>
      <c r="R9" s="63">
        <v>120</v>
      </c>
      <c r="S9" s="93">
        <v>0</v>
      </c>
      <c r="T9" s="63">
        <v>0</v>
      </c>
      <c r="U9" s="90">
        <f t="shared" si="1"/>
        <v>240</v>
      </c>
      <c r="V9" s="90">
        <f t="shared" si="2"/>
        <v>2262.63</v>
      </c>
      <c r="W9" s="90">
        <f t="shared" si="3"/>
        <v>2262.63</v>
      </c>
      <c r="X9" s="93"/>
    </row>
    <row r="10" spans="1:24" s="64" customFormat="1" ht="15">
      <c r="A10" s="97" t="s">
        <v>253</v>
      </c>
      <c r="B10" s="97" t="s">
        <v>322</v>
      </c>
      <c r="C10" s="97" t="s">
        <v>760</v>
      </c>
      <c r="D10" s="69">
        <v>397</v>
      </c>
      <c r="E10" s="97" t="s">
        <v>761</v>
      </c>
      <c r="F10" s="97" t="s">
        <v>759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62">
        <v>45218</v>
      </c>
      <c r="M10" s="62">
        <v>45219</v>
      </c>
      <c r="N10" s="94">
        <f t="shared" ref="N10:O11" si="10">2022.63/2</f>
        <v>1011.3150000000001</v>
      </c>
      <c r="O10" s="94">
        <f t="shared" si="10"/>
        <v>1011.3150000000001</v>
      </c>
      <c r="P10" s="94">
        <f t="shared" si="0"/>
        <v>2022.63</v>
      </c>
      <c r="Q10" s="93">
        <v>2</v>
      </c>
      <c r="R10" s="63">
        <v>120</v>
      </c>
      <c r="S10" s="93">
        <v>0</v>
      </c>
      <c r="T10" s="63">
        <v>0</v>
      </c>
      <c r="U10" s="90">
        <f t="shared" si="1"/>
        <v>240</v>
      </c>
      <c r="V10" s="90">
        <f t="shared" si="2"/>
        <v>2262.63</v>
      </c>
      <c r="W10" s="90">
        <f t="shared" si="3"/>
        <v>2262.63</v>
      </c>
      <c r="X10" s="93"/>
    </row>
    <row r="11" spans="1:24" s="64" customFormat="1" ht="15">
      <c r="A11" s="97" t="s">
        <v>253</v>
      </c>
      <c r="B11" s="97" t="s">
        <v>322</v>
      </c>
      <c r="C11" s="97" t="s">
        <v>762</v>
      </c>
      <c r="D11" s="69">
        <v>324</v>
      </c>
      <c r="E11" s="97" t="s">
        <v>763</v>
      </c>
      <c r="F11" s="97" t="s">
        <v>759</v>
      </c>
      <c r="G11" s="97" t="s">
        <v>36</v>
      </c>
      <c r="H11" s="97" t="s">
        <v>37</v>
      </c>
      <c r="I11" s="97" t="s">
        <v>38</v>
      </c>
      <c r="J11" s="97" t="s">
        <v>116</v>
      </c>
      <c r="K11" s="97" t="s">
        <v>117</v>
      </c>
      <c r="L11" s="62">
        <v>45218</v>
      </c>
      <c r="M11" s="62">
        <v>45219</v>
      </c>
      <c r="N11" s="94">
        <f t="shared" si="10"/>
        <v>1011.3150000000001</v>
      </c>
      <c r="O11" s="94">
        <f t="shared" si="10"/>
        <v>1011.3150000000001</v>
      </c>
      <c r="P11" s="94">
        <f t="shared" si="0"/>
        <v>2022.63</v>
      </c>
      <c r="Q11" s="93">
        <v>2</v>
      </c>
      <c r="R11" s="63">
        <v>120</v>
      </c>
      <c r="S11" s="93">
        <v>0</v>
      </c>
      <c r="T11" s="63">
        <v>0</v>
      </c>
      <c r="U11" s="90">
        <f t="shared" si="1"/>
        <v>240</v>
      </c>
      <c r="V11" s="90">
        <f t="shared" si="2"/>
        <v>2262.63</v>
      </c>
      <c r="W11" s="90">
        <f t="shared" si="3"/>
        <v>2262.63</v>
      </c>
      <c r="X11" s="93"/>
    </row>
    <row r="12" spans="1:24" s="64" customFormat="1" ht="15">
      <c r="A12" s="97" t="s">
        <v>231</v>
      </c>
      <c r="B12" s="97" t="s">
        <v>764</v>
      </c>
      <c r="C12" s="97" t="s">
        <v>731</v>
      </c>
      <c r="D12" s="69">
        <v>390</v>
      </c>
      <c r="E12" s="97" t="s">
        <v>765</v>
      </c>
      <c r="F12" s="97" t="s">
        <v>766</v>
      </c>
      <c r="G12" s="97" t="s">
        <v>36</v>
      </c>
      <c r="H12" s="97" t="s">
        <v>37</v>
      </c>
      <c r="I12" s="97" t="s">
        <v>38</v>
      </c>
      <c r="J12" s="97" t="s">
        <v>116</v>
      </c>
      <c r="K12" s="97" t="s">
        <v>767</v>
      </c>
      <c r="L12" s="62">
        <v>45224</v>
      </c>
      <c r="M12" s="62">
        <v>45226</v>
      </c>
      <c r="N12" s="94">
        <f>2436.85/2</f>
        <v>1218.425</v>
      </c>
      <c r="O12" s="94">
        <f>2436.85/2</f>
        <v>1218.425</v>
      </c>
      <c r="P12" s="94">
        <f t="shared" si="0"/>
        <v>2436.85</v>
      </c>
      <c r="Q12" s="93">
        <v>3</v>
      </c>
      <c r="R12" s="63">
        <v>120</v>
      </c>
      <c r="S12" s="93">
        <v>0</v>
      </c>
      <c r="T12" s="63">
        <v>0</v>
      </c>
      <c r="U12" s="90">
        <f t="shared" si="1"/>
        <v>360</v>
      </c>
      <c r="V12" s="90">
        <f t="shared" si="2"/>
        <v>2796.85</v>
      </c>
      <c r="W12" s="90">
        <f t="shared" si="3"/>
        <v>2796.85</v>
      </c>
      <c r="X12" s="93"/>
    </row>
    <row r="13" spans="1:24" s="64" customFormat="1" ht="15">
      <c r="A13" s="97" t="s">
        <v>231</v>
      </c>
      <c r="B13" s="97" t="s">
        <v>231</v>
      </c>
      <c r="C13" s="97" t="s">
        <v>768</v>
      </c>
      <c r="D13" s="69">
        <v>392</v>
      </c>
      <c r="E13" s="97" t="s">
        <v>769</v>
      </c>
      <c r="F13" s="97" t="s">
        <v>766</v>
      </c>
      <c r="G13" s="97" t="s">
        <v>36</v>
      </c>
      <c r="H13" s="97" t="s">
        <v>37</v>
      </c>
      <c r="I13" s="97" t="s">
        <v>38</v>
      </c>
      <c r="J13" s="97" t="s">
        <v>116</v>
      </c>
      <c r="K13" s="97" t="s">
        <v>767</v>
      </c>
      <c r="L13" s="62">
        <v>45224</v>
      </c>
      <c r="M13" s="62">
        <v>45226</v>
      </c>
      <c r="N13" s="94">
        <f>2785.85/2</f>
        <v>1392.925</v>
      </c>
      <c r="O13" s="94">
        <f>2785.85/2</f>
        <v>1392.925</v>
      </c>
      <c r="P13" s="94">
        <f t="shared" si="0"/>
        <v>2785.85</v>
      </c>
      <c r="Q13" s="93">
        <v>3</v>
      </c>
      <c r="R13" s="63">
        <v>120</v>
      </c>
      <c r="S13" s="93">
        <v>0</v>
      </c>
      <c r="T13" s="63">
        <v>0</v>
      </c>
      <c r="U13" s="90">
        <f t="shared" si="1"/>
        <v>360</v>
      </c>
      <c r="V13" s="90">
        <f t="shared" si="2"/>
        <v>3145.85</v>
      </c>
      <c r="W13" s="90">
        <f t="shared" si="3"/>
        <v>3145.85</v>
      </c>
      <c r="X13" s="93"/>
    </row>
    <row r="14" spans="1:24" s="64" customFormat="1" ht="15">
      <c r="A14" s="97" t="s">
        <v>231</v>
      </c>
      <c r="B14" s="97" t="s">
        <v>229</v>
      </c>
      <c r="C14" s="97" t="s">
        <v>653</v>
      </c>
      <c r="D14" s="69">
        <v>343</v>
      </c>
      <c r="E14" s="97" t="s">
        <v>770</v>
      </c>
      <c r="F14" s="97" t="s">
        <v>771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62">
        <v>45224</v>
      </c>
      <c r="M14" s="62">
        <v>45226</v>
      </c>
      <c r="N14" s="94">
        <f>1941.13/2</f>
        <v>970.56500000000005</v>
      </c>
      <c r="O14" s="94">
        <f>1941.13/2</f>
        <v>970.56500000000005</v>
      </c>
      <c r="P14" s="94">
        <f t="shared" si="0"/>
        <v>1941.13</v>
      </c>
      <c r="Q14" s="93">
        <v>3</v>
      </c>
      <c r="R14" s="63">
        <v>120</v>
      </c>
      <c r="S14" s="93">
        <v>0</v>
      </c>
      <c r="T14" s="63">
        <v>0</v>
      </c>
      <c r="U14" s="90">
        <f t="shared" si="1"/>
        <v>360</v>
      </c>
      <c r="V14" s="90">
        <f t="shared" si="2"/>
        <v>2301.13</v>
      </c>
      <c r="W14" s="90">
        <f t="shared" si="3"/>
        <v>2301.13</v>
      </c>
      <c r="X14" s="93"/>
    </row>
    <row r="15" spans="1:24" s="64" customFormat="1" ht="15">
      <c r="A15" s="97" t="s">
        <v>231</v>
      </c>
      <c r="B15" s="97" t="s">
        <v>229</v>
      </c>
      <c r="C15" s="97" t="s">
        <v>65</v>
      </c>
      <c r="D15" s="69">
        <v>195</v>
      </c>
      <c r="E15" s="97" t="s">
        <v>770</v>
      </c>
      <c r="F15" s="97" t="s">
        <v>771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62">
        <v>45224</v>
      </c>
      <c r="M15" s="62">
        <v>45226</v>
      </c>
      <c r="N15" s="94">
        <f>1941.13/2</f>
        <v>970.56500000000005</v>
      </c>
      <c r="O15" s="94">
        <f>1941.13/2</f>
        <v>970.56500000000005</v>
      </c>
      <c r="P15" s="94">
        <f t="shared" si="0"/>
        <v>1941.13</v>
      </c>
      <c r="Q15" s="93">
        <v>3</v>
      </c>
      <c r="R15" s="63">
        <v>120</v>
      </c>
      <c r="S15" s="93">
        <v>0</v>
      </c>
      <c r="T15" s="63">
        <v>0</v>
      </c>
      <c r="U15" s="90">
        <f t="shared" si="1"/>
        <v>360</v>
      </c>
      <c r="V15" s="90">
        <f t="shared" si="2"/>
        <v>2301.13</v>
      </c>
      <c r="W15" s="90">
        <f t="shared" si="3"/>
        <v>2301.13</v>
      </c>
      <c r="X15" s="93"/>
    </row>
    <row r="16" spans="1:24" s="64" customFormat="1" ht="15">
      <c r="A16" s="97" t="s">
        <v>231</v>
      </c>
      <c r="B16" s="97" t="s">
        <v>229</v>
      </c>
      <c r="C16" s="97" t="s">
        <v>729</v>
      </c>
      <c r="D16" s="69">
        <v>387</v>
      </c>
      <c r="E16" s="97" t="s">
        <v>248</v>
      </c>
      <c r="F16" s="97" t="s">
        <v>772</v>
      </c>
      <c r="G16" s="97" t="s">
        <v>36</v>
      </c>
      <c r="H16" s="97" t="s">
        <v>37</v>
      </c>
      <c r="I16" s="97" t="s">
        <v>38</v>
      </c>
      <c r="J16" s="97" t="s">
        <v>116</v>
      </c>
      <c r="K16" s="97" t="s">
        <v>117</v>
      </c>
      <c r="L16" s="62">
        <v>45222</v>
      </c>
      <c r="M16" s="62">
        <v>45225</v>
      </c>
      <c r="N16" s="94">
        <f>1816.7/2</f>
        <v>908.35</v>
      </c>
      <c r="O16" s="94">
        <f>1816.7/2</f>
        <v>908.35</v>
      </c>
      <c r="P16" s="94">
        <f t="shared" si="0"/>
        <v>1816.7</v>
      </c>
      <c r="Q16" s="93">
        <v>4</v>
      </c>
      <c r="R16" s="63">
        <v>120</v>
      </c>
      <c r="S16" s="93">
        <v>0</v>
      </c>
      <c r="T16" s="63">
        <v>0</v>
      </c>
      <c r="U16" s="90">
        <f t="shared" si="1"/>
        <v>480</v>
      </c>
      <c r="V16" s="90">
        <f>P16+U16</f>
        <v>2296.6999999999998</v>
      </c>
      <c r="W16" s="90">
        <f t="shared" si="3"/>
        <v>2296.6999999999998</v>
      </c>
      <c r="X16" s="93"/>
    </row>
    <row r="17" spans="1:24" s="64" customFormat="1" ht="15">
      <c r="A17" s="97" t="s">
        <v>253</v>
      </c>
      <c r="B17" s="97" t="s">
        <v>253</v>
      </c>
      <c r="C17" s="97" t="s">
        <v>387</v>
      </c>
      <c r="D17" s="69">
        <v>0</v>
      </c>
      <c r="E17" s="97" t="s">
        <v>50</v>
      </c>
      <c r="F17" s="97" t="s">
        <v>766</v>
      </c>
      <c r="G17" s="97" t="s">
        <v>36</v>
      </c>
      <c r="H17" s="97" t="s">
        <v>37</v>
      </c>
      <c r="I17" s="97" t="s">
        <v>38</v>
      </c>
      <c r="J17" s="97" t="s">
        <v>116</v>
      </c>
      <c r="K17" s="97" t="s">
        <v>767</v>
      </c>
      <c r="L17" s="62">
        <v>45224</v>
      </c>
      <c r="M17" s="62">
        <v>45226</v>
      </c>
      <c r="N17" s="94">
        <f>2436.85/2</f>
        <v>1218.425</v>
      </c>
      <c r="O17" s="94">
        <f>2436.85/2</f>
        <v>1218.425</v>
      </c>
      <c r="P17" s="94">
        <f t="shared" si="0"/>
        <v>2436.85</v>
      </c>
      <c r="Q17" s="93">
        <v>0</v>
      </c>
      <c r="R17" s="63">
        <v>120</v>
      </c>
      <c r="S17" s="93">
        <v>0</v>
      </c>
      <c r="T17" s="63">
        <v>0</v>
      </c>
      <c r="U17" s="90">
        <f t="shared" si="1"/>
        <v>0</v>
      </c>
      <c r="V17" s="90">
        <f t="shared" si="2"/>
        <v>2436.85</v>
      </c>
      <c r="W17" s="90">
        <f t="shared" si="3"/>
        <v>2436.85</v>
      </c>
      <c r="X17" s="93"/>
    </row>
    <row r="18" spans="1:24" s="64" customFormat="1" ht="15">
      <c r="A18" s="97" t="s">
        <v>253</v>
      </c>
      <c r="B18" s="97" t="s">
        <v>259</v>
      </c>
      <c r="C18" s="97" t="s">
        <v>383</v>
      </c>
      <c r="D18" s="69">
        <v>65</v>
      </c>
      <c r="E18" s="97" t="s">
        <v>773</v>
      </c>
      <c r="F18" s="97" t="s">
        <v>766</v>
      </c>
      <c r="G18" s="97" t="s">
        <v>36</v>
      </c>
      <c r="H18" s="97" t="s">
        <v>37</v>
      </c>
      <c r="I18" s="97" t="s">
        <v>38</v>
      </c>
      <c r="J18" s="97" t="s">
        <v>116</v>
      </c>
      <c r="K18" s="97" t="s">
        <v>767</v>
      </c>
      <c r="L18" s="62">
        <v>45224</v>
      </c>
      <c r="M18" s="62">
        <v>45226</v>
      </c>
      <c r="N18" s="94">
        <f>2436.85/2</f>
        <v>1218.425</v>
      </c>
      <c r="O18" s="94">
        <f>2436.85/2</f>
        <v>1218.425</v>
      </c>
      <c r="P18" s="94">
        <f t="shared" si="0"/>
        <v>2436.85</v>
      </c>
      <c r="Q18" s="93">
        <v>3</v>
      </c>
      <c r="R18" s="63">
        <v>120</v>
      </c>
      <c r="S18" s="93">
        <v>0</v>
      </c>
      <c r="T18" s="63">
        <v>0</v>
      </c>
      <c r="U18" s="90">
        <f t="shared" si="1"/>
        <v>360</v>
      </c>
      <c r="V18" s="90">
        <f t="shared" si="2"/>
        <v>2796.85</v>
      </c>
      <c r="W18" s="90">
        <f t="shared" si="3"/>
        <v>2796.85</v>
      </c>
      <c r="X18" s="93"/>
    </row>
    <row r="19" spans="1:24" s="64" customFormat="1" ht="15">
      <c r="A19" s="97" t="s">
        <v>371</v>
      </c>
      <c r="B19" s="97" t="s">
        <v>371</v>
      </c>
      <c r="C19" s="97" t="s">
        <v>79</v>
      </c>
      <c r="D19" s="69">
        <v>0</v>
      </c>
      <c r="E19" s="97" t="s">
        <v>80</v>
      </c>
      <c r="F19" s="97" t="str">
        <f>$E$36</f>
        <v>EVENTO REGULATÓRIO COMMIT/MITSUI - QUANTUM</v>
      </c>
      <c r="G19" s="97" t="s">
        <v>774</v>
      </c>
      <c r="H19" s="97" t="s">
        <v>37</v>
      </c>
      <c r="I19" s="97" t="s">
        <v>38</v>
      </c>
      <c r="J19" s="97"/>
      <c r="K19" s="97" t="s">
        <v>775</v>
      </c>
      <c r="L19" s="62">
        <v>45214</v>
      </c>
      <c r="M19" s="62">
        <v>45220</v>
      </c>
      <c r="N19" s="94">
        <f>4613.64/2</f>
        <v>2306.8200000000002</v>
      </c>
      <c r="O19" s="94">
        <f>4613.64/2</f>
        <v>2306.8200000000002</v>
      </c>
      <c r="P19" s="94">
        <f t="shared" si="0"/>
        <v>4613.6400000000003</v>
      </c>
      <c r="Q19" s="93">
        <v>0</v>
      </c>
      <c r="R19" s="63">
        <v>120</v>
      </c>
      <c r="S19" s="93">
        <v>0</v>
      </c>
      <c r="T19" s="63">
        <v>0</v>
      </c>
      <c r="U19" s="90">
        <f t="shared" si="1"/>
        <v>0</v>
      </c>
      <c r="V19" s="90">
        <f t="shared" si="2"/>
        <v>4613.6400000000003</v>
      </c>
      <c r="W19" s="90">
        <f t="shared" si="3"/>
        <v>4613.6400000000003</v>
      </c>
      <c r="X19" s="93"/>
    </row>
    <row r="20" spans="1:24" s="64" customFormat="1" ht="15">
      <c r="A20" s="97" t="s">
        <v>231</v>
      </c>
      <c r="B20" s="97" t="s">
        <v>231</v>
      </c>
      <c r="C20" s="97" t="s">
        <v>704</v>
      </c>
      <c r="D20" s="69">
        <v>0</v>
      </c>
      <c r="E20" s="97" t="s">
        <v>562</v>
      </c>
      <c r="F20" s="97" t="str">
        <f>$E$36</f>
        <v>EVENTO REGULATÓRIO COMMIT/MITSUI - QUANTUM</v>
      </c>
      <c r="G20" s="97" t="s">
        <v>774</v>
      </c>
      <c r="H20" s="97" t="s">
        <v>37</v>
      </c>
      <c r="I20" s="97" t="s">
        <v>38</v>
      </c>
      <c r="J20" s="97"/>
      <c r="K20" s="97" t="s">
        <v>775</v>
      </c>
      <c r="L20" s="62">
        <v>45214</v>
      </c>
      <c r="M20" s="62">
        <v>45220</v>
      </c>
      <c r="N20" s="94">
        <f>6094/2</f>
        <v>3047</v>
      </c>
      <c r="O20" s="94">
        <f>6094/2</f>
        <v>3047</v>
      </c>
      <c r="P20" s="94">
        <f t="shared" si="0"/>
        <v>6094</v>
      </c>
      <c r="Q20" s="93">
        <v>0</v>
      </c>
      <c r="R20" s="63">
        <v>6279.28</v>
      </c>
      <c r="S20" s="93">
        <v>0</v>
      </c>
      <c r="T20" s="63">
        <v>0</v>
      </c>
      <c r="U20" s="90">
        <f>R20</f>
        <v>6279.28</v>
      </c>
      <c r="V20" s="90">
        <f t="shared" si="2"/>
        <v>12373.279999999999</v>
      </c>
      <c r="W20" s="90">
        <f t="shared" si="3"/>
        <v>12373.279999999999</v>
      </c>
      <c r="X20" s="93"/>
    </row>
    <row r="21" spans="1:24" s="64" customFormat="1" ht="15">
      <c r="A21" s="97" t="s">
        <v>371</v>
      </c>
      <c r="B21" s="97" t="s">
        <v>371</v>
      </c>
      <c r="C21" s="97" t="s">
        <v>137</v>
      </c>
      <c r="D21" s="69">
        <v>202</v>
      </c>
      <c r="E21" s="97" t="s">
        <v>700</v>
      </c>
      <c r="F21" s="97" t="str">
        <f>$E$36</f>
        <v>EVENTO REGULATÓRIO COMMIT/MITSUI - QUANTUM</v>
      </c>
      <c r="G21" s="97" t="s">
        <v>774</v>
      </c>
      <c r="H21" s="97" t="s">
        <v>37</v>
      </c>
      <c r="I21" s="97" t="s">
        <v>38</v>
      </c>
      <c r="J21" s="97"/>
      <c r="K21" s="97" t="s">
        <v>775</v>
      </c>
      <c r="L21" s="62">
        <v>45214</v>
      </c>
      <c r="M21" s="62">
        <v>45220</v>
      </c>
      <c r="N21" s="94">
        <f>4613.64/2</f>
        <v>2306.8200000000002</v>
      </c>
      <c r="O21" s="94">
        <f>4613.64/2</f>
        <v>2306.8200000000002</v>
      </c>
      <c r="P21" s="94">
        <f t="shared" si="0"/>
        <v>4613.6400000000003</v>
      </c>
      <c r="Q21" s="93">
        <v>0</v>
      </c>
      <c r="R21" s="63">
        <v>120</v>
      </c>
      <c r="S21" s="93">
        <v>0</v>
      </c>
      <c r="T21" s="63">
        <v>0</v>
      </c>
      <c r="U21" s="90">
        <f t="shared" si="1"/>
        <v>0</v>
      </c>
      <c r="V21" s="90">
        <f t="shared" si="2"/>
        <v>4613.6400000000003</v>
      </c>
      <c r="W21" s="90">
        <f t="shared" si="3"/>
        <v>4613.6400000000003</v>
      </c>
      <c r="X21" s="93"/>
    </row>
    <row r="22" spans="1:24" s="64" customFormat="1" ht="15">
      <c r="A22" s="97" t="s">
        <v>371</v>
      </c>
      <c r="B22" s="185" t="s">
        <v>295</v>
      </c>
      <c r="C22" s="97" t="s">
        <v>296</v>
      </c>
      <c r="D22" s="69">
        <v>61</v>
      </c>
      <c r="E22" s="97" t="s">
        <v>776</v>
      </c>
      <c r="F22" s="97" t="s">
        <v>777</v>
      </c>
      <c r="G22" s="97" t="s">
        <v>36</v>
      </c>
      <c r="H22" s="97" t="s">
        <v>37</v>
      </c>
      <c r="I22" s="97" t="s">
        <v>38</v>
      </c>
      <c r="J22" s="97" t="s">
        <v>39</v>
      </c>
      <c r="K22" s="97" t="s">
        <v>40</v>
      </c>
      <c r="L22" s="62">
        <v>45216</v>
      </c>
      <c r="M22" s="62">
        <v>45217</v>
      </c>
      <c r="N22" s="94">
        <f>2054.92/2</f>
        <v>1027.46</v>
      </c>
      <c r="O22" s="94">
        <f>2054.92/2</f>
        <v>1027.46</v>
      </c>
      <c r="P22" s="94">
        <f t="shared" si="0"/>
        <v>2054.92</v>
      </c>
      <c r="Q22" s="93">
        <v>2</v>
      </c>
      <c r="R22" s="63">
        <v>120</v>
      </c>
      <c r="S22" s="93">
        <v>0</v>
      </c>
      <c r="T22" s="63">
        <v>0</v>
      </c>
      <c r="U22" s="90">
        <f t="shared" si="1"/>
        <v>240</v>
      </c>
      <c r="V22" s="90">
        <f t="shared" si="2"/>
        <v>2294.92</v>
      </c>
      <c r="W22" s="90">
        <f t="shared" si="3"/>
        <v>2294.92</v>
      </c>
      <c r="X22" s="93"/>
    </row>
    <row r="23" spans="1:24" s="64" customFormat="1" ht="15">
      <c r="A23" s="97" t="s">
        <v>253</v>
      </c>
      <c r="B23" s="97" t="s">
        <v>253</v>
      </c>
      <c r="C23" s="97" t="s">
        <v>387</v>
      </c>
      <c r="D23" s="69">
        <v>0</v>
      </c>
      <c r="E23" s="97" t="s">
        <v>50</v>
      </c>
      <c r="F23" s="97" t="s">
        <v>778</v>
      </c>
      <c r="G23" s="97" t="s">
        <v>36</v>
      </c>
      <c r="H23" s="97" t="s">
        <v>37</v>
      </c>
      <c r="I23" s="97" t="s">
        <v>38</v>
      </c>
      <c r="J23" s="97" t="s">
        <v>39</v>
      </c>
      <c r="K23" s="97" t="s">
        <v>40</v>
      </c>
      <c r="L23" s="62">
        <v>45221</v>
      </c>
      <c r="M23" s="62">
        <v>45224</v>
      </c>
      <c r="N23" s="94">
        <f>(1632.83+2870.29)/2</f>
        <v>2251.56</v>
      </c>
      <c r="O23" s="94">
        <f>(1632.83+2870.29)/2</f>
        <v>2251.56</v>
      </c>
      <c r="P23" s="94">
        <f t="shared" si="0"/>
        <v>4503.12</v>
      </c>
      <c r="Q23" s="93">
        <v>0</v>
      </c>
      <c r="R23" s="63">
        <v>120</v>
      </c>
      <c r="S23" s="93">
        <v>0</v>
      </c>
      <c r="T23" s="63">
        <v>0</v>
      </c>
      <c r="U23" s="90">
        <f t="shared" si="1"/>
        <v>0</v>
      </c>
      <c r="V23" s="90">
        <f t="shared" si="2"/>
        <v>4503.12</v>
      </c>
      <c r="W23" s="90">
        <f t="shared" si="3"/>
        <v>4503.12</v>
      </c>
      <c r="X23" s="93"/>
    </row>
    <row r="24" spans="1:24" s="64" customFormat="1" ht="30">
      <c r="A24" s="97" t="s">
        <v>231</v>
      </c>
      <c r="B24" s="97" t="s">
        <v>231</v>
      </c>
      <c r="C24" s="97" t="s">
        <v>704</v>
      </c>
      <c r="D24" s="69">
        <v>0</v>
      </c>
      <c r="E24" s="97" t="s">
        <v>562</v>
      </c>
      <c r="F24" s="98" t="s">
        <v>779</v>
      </c>
      <c r="G24" s="97" t="s">
        <v>36</v>
      </c>
      <c r="H24" s="97" t="s">
        <v>37</v>
      </c>
      <c r="I24" s="97" t="s">
        <v>38</v>
      </c>
      <c r="J24" s="97" t="s">
        <v>127</v>
      </c>
      <c r="K24" s="97" t="s">
        <v>63</v>
      </c>
      <c r="L24" s="62">
        <v>45222</v>
      </c>
      <c r="M24" s="62">
        <v>45224</v>
      </c>
      <c r="N24" s="94">
        <f>2210.74/2</f>
        <v>1105.3699999999999</v>
      </c>
      <c r="O24" s="94">
        <f>2210.74/2</f>
        <v>1105.3699999999999</v>
      </c>
      <c r="P24" s="94">
        <f t="shared" si="0"/>
        <v>2210.7399999999998</v>
      </c>
      <c r="Q24" s="93">
        <v>0</v>
      </c>
      <c r="R24" s="63">
        <v>120</v>
      </c>
      <c r="S24" s="93">
        <v>0</v>
      </c>
      <c r="T24" s="63">
        <v>0</v>
      </c>
      <c r="U24" s="90">
        <f t="shared" si="1"/>
        <v>0</v>
      </c>
      <c r="V24" s="90">
        <f t="shared" si="2"/>
        <v>2210.7399999999998</v>
      </c>
      <c r="W24" s="90">
        <f t="shared" si="3"/>
        <v>2210.7399999999998</v>
      </c>
      <c r="X24" s="93"/>
    </row>
    <row r="25" spans="1:24" s="64" customFormat="1" ht="15">
      <c r="A25" s="97" t="s">
        <v>253</v>
      </c>
      <c r="B25" s="97" t="s">
        <v>212</v>
      </c>
      <c r="C25" s="97" t="s">
        <v>539</v>
      </c>
      <c r="D25" s="69">
        <v>159</v>
      </c>
      <c r="E25" s="97" t="s">
        <v>541</v>
      </c>
      <c r="F25" s="97" t="s">
        <v>780</v>
      </c>
      <c r="G25" s="97" t="s">
        <v>36</v>
      </c>
      <c r="H25" s="97" t="s">
        <v>37</v>
      </c>
      <c r="I25" s="97" t="s">
        <v>38</v>
      </c>
      <c r="J25" s="97" t="s">
        <v>127</v>
      </c>
      <c r="K25" s="97" t="s">
        <v>414</v>
      </c>
      <c r="L25" s="62">
        <v>45223</v>
      </c>
      <c r="M25" s="62">
        <v>45224</v>
      </c>
      <c r="N25" s="94">
        <f>3615.39/2</f>
        <v>1807.6949999999999</v>
      </c>
      <c r="O25" s="94">
        <f>3615.39/2</f>
        <v>1807.6949999999999</v>
      </c>
      <c r="P25" s="94">
        <f t="shared" si="0"/>
        <v>3615.39</v>
      </c>
      <c r="Q25" s="93">
        <v>2</v>
      </c>
      <c r="R25" s="63">
        <v>120</v>
      </c>
      <c r="S25" s="93">
        <v>0</v>
      </c>
      <c r="T25" s="63">
        <v>0</v>
      </c>
      <c r="U25" s="90">
        <f t="shared" si="1"/>
        <v>240</v>
      </c>
      <c r="V25" s="90">
        <f t="shared" si="2"/>
        <v>3855.39</v>
      </c>
      <c r="W25" s="90">
        <f t="shared" si="3"/>
        <v>3855.39</v>
      </c>
      <c r="X25" s="93"/>
    </row>
    <row r="26" spans="1:24" s="64" customFormat="1" ht="15">
      <c r="A26" s="97" t="s">
        <v>231</v>
      </c>
      <c r="B26" s="97" t="s">
        <v>231</v>
      </c>
      <c r="C26" s="97" t="s">
        <v>704</v>
      </c>
      <c r="D26" s="69">
        <v>0</v>
      </c>
      <c r="E26" s="97" t="s">
        <v>562</v>
      </c>
      <c r="F26" s="97" t="s">
        <v>766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781</v>
      </c>
      <c r="L26" s="62">
        <v>45224</v>
      </c>
      <c r="M26" s="62">
        <v>45226</v>
      </c>
      <c r="N26" s="94">
        <f>1951.84/2</f>
        <v>975.92</v>
      </c>
      <c r="O26" s="94">
        <f>1951.84/2</f>
        <v>975.92</v>
      </c>
      <c r="P26" s="94">
        <f t="shared" si="0"/>
        <v>1951.84</v>
      </c>
      <c r="Q26" s="93">
        <v>0</v>
      </c>
      <c r="R26" s="63">
        <v>120</v>
      </c>
      <c r="S26" s="93">
        <v>0</v>
      </c>
      <c r="T26" s="63">
        <v>0</v>
      </c>
      <c r="U26" s="90">
        <f t="shared" si="1"/>
        <v>0</v>
      </c>
      <c r="V26" s="90">
        <f t="shared" ref="V26:V30" si="11">P26+U26</f>
        <v>1951.84</v>
      </c>
      <c r="W26" s="90">
        <f t="shared" ref="W26:W30" si="12">V26</f>
        <v>1951.84</v>
      </c>
      <c r="X26" s="93"/>
    </row>
    <row r="27" spans="1:24" s="64" customFormat="1" ht="15">
      <c r="A27" s="97" t="s">
        <v>231</v>
      </c>
      <c r="B27" s="97" t="s">
        <v>241</v>
      </c>
      <c r="C27" s="97" t="s">
        <v>701</v>
      </c>
      <c r="D27" s="69">
        <v>394</v>
      </c>
      <c r="E27" s="97" t="s">
        <v>702</v>
      </c>
      <c r="F27" s="97" t="s">
        <v>782</v>
      </c>
      <c r="G27" s="97" t="s">
        <v>36</v>
      </c>
      <c r="H27" s="97" t="s">
        <v>37</v>
      </c>
      <c r="I27" s="97" t="s">
        <v>38</v>
      </c>
      <c r="J27" s="97" t="s">
        <v>127</v>
      </c>
      <c r="K27" s="97" t="s">
        <v>63</v>
      </c>
      <c r="L27" s="62">
        <v>45223</v>
      </c>
      <c r="M27" s="62">
        <v>45225</v>
      </c>
      <c r="N27" s="94">
        <f>925.58/2</f>
        <v>462.79</v>
      </c>
      <c r="O27" s="94">
        <f>925.58/2</f>
        <v>462.79</v>
      </c>
      <c r="P27" s="94">
        <f t="shared" si="0"/>
        <v>925.58</v>
      </c>
      <c r="Q27" s="93">
        <v>4</v>
      </c>
      <c r="R27" s="63">
        <v>120</v>
      </c>
      <c r="S27" s="93">
        <v>0</v>
      </c>
      <c r="T27" s="63">
        <v>0</v>
      </c>
      <c r="U27" s="90">
        <f t="shared" ref="U27" si="13">Q27*R27+S27*T27</f>
        <v>480</v>
      </c>
      <c r="V27" s="90">
        <f t="shared" ref="V27" si="14">P27+U27</f>
        <v>1405.58</v>
      </c>
      <c r="W27" s="90">
        <f t="shared" ref="W27" si="15">V27</f>
        <v>1405.58</v>
      </c>
      <c r="X27" s="93"/>
    </row>
    <row r="28" spans="1:24" s="64" customFormat="1" ht="15">
      <c r="A28" s="97" t="s">
        <v>371</v>
      </c>
      <c r="B28" s="97" t="s">
        <v>371</v>
      </c>
      <c r="C28" s="97" t="s">
        <v>137</v>
      </c>
      <c r="D28" s="69">
        <v>202</v>
      </c>
      <c r="E28" s="97" t="s">
        <v>700</v>
      </c>
      <c r="F28" s="97" t="s">
        <v>783</v>
      </c>
      <c r="G28" s="97" t="s">
        <v>36</v>
      </c>
      <c r="H28" s="97" t="s">
        <v>37</v>
      </c>
      <c r="I28" s="97" t="s">
        <v>38</v>
      </c>
      <c r="J28" s="97" t="s">
        <v>39</v>
      </c>
      <c r="K28" s="97" t="s">
        <v>40</v>
      </c>
      <c r="L28" s="62">
        <v>45223</v>
      </c>
      <c r="M28" s="62">
        <v>45226</v>
      </c>
      <c r="N28" s="94">
        <f t="shared" ref="N28:O30" si="16">2170.64/2</f>
        <v>1085.32</v>
      </c>
      <c r="O28" s="94">
        <f t="shared" si="16"/>
        <v>1085.32</v>
      </c>
      <c r="P28" s="94">
        <f t="shared" si="0"/>
        <v>2170.64</v>
      </c>
      <c r="Q28" s="93">
        <v>4</v>
      </c>
      <c r="R28" s="63">
        <v>120</v>
      </c>
      <c r="S28" s="93">
        <v>0</v>
      </c>
      <c r="T28" s="63">
        <v>0</v>
      </c>
      <c r="U28" s="90">
        <f t="shared" si="1"/>
        <v>480</v>
      </c>
      <c r="V28" s="90">
        <f t="shared" si="11"/>
        <v>2650.64</v>
      </c>
      <c r="W28" s="90">
        <f t="shared" si="12"/>
        <v>2650.64</v>
      </c>
      <c r="X28" s="93"/>
    </row>
    <row r="29" spans="1:24" s="64" customFormat="1" ht="15">
      <c r="A29" s="97" t="s">
        <v>371</v>
      </c>
      <c r="B29" s="185" t="s">
        <v>240</v>
      </c>
      <c r="C29" s="97" t="s">
        <v>448</v>
      </c>
      <c r="D29" s="69">
        <v>336</v>
      </c>
      <c r="E29" s="97" t="s">
        <v>294</v>
      </c>
      <c r="F29" s="97" t="s">
        <v>783</v>
      </c>
      <c r="G29" s="97" t="s">
        <v>36</v>
      </c>
      <c r="H29" s="97" t="s">
        <v>37</v>
      </c>
      <c r="I29" s="97" t="s">
        <v>38</v>
      </c>
      <c r="J29" s="97" t="s">
        <v>39</v>
      </c>
      <c r="K29" s="97" t="s">
        <v>40</v>
      </c>
      <c r="L29" s="62">
        <v>45223</v>
      </c>
      <c r="M29" s="62">
        <v>45225</v>
      </c>
      <c r="N29" s="94">
        <f t="shared" si="16"/>
        <v>1085.32</v>
      </c>
      <c r="O29" s="94">
        <f t="shared" si="16"/>
        <v>1085.32</v>
      </c>
      <c r="P29" s="94">
        <f t="shared" si="0"/>
        <v>2170.64</v>
      </c>
      <c r="Q29" s="93">
        <v>3</v>
      </c>
      <c r="R29" s="63">
        <v>120</v>
      </c>
      <c r="S29" s="93">
        <v>0</v>
      </c>
      <c r="T29" s="63">
        <v>0</v>
      </c>
      <c r="U29" s="90">
        <f t="shared" si="1"/>
        <v>360</v>
      </c>
      <c r="V29" s="90">
        <f t="shared" si="11"/>
        <v>2530.64</v>
      </c>
      <c r="W29" s="90">
        <f t="shared" si="12"/>
        <v>2530.64</v>
      </c>
      <c r="X29" s="93"/>
    </row>
    <row r="30" spans="1:24" s="64" customFormat="1" ht="15">
      <c r="A30" s="97" t="s">
        <v>371</v>
      </c>
      <c r="B30" s="185" t="s">
        <v>240</v>
      </c>
      <c r="C30" s="97" t="s">
        <v>140</v>
      </c>
      <c r="D30" s="69">
        <v>230</v>
      </c>
      <c r="E30" s="97" t="s">
        <v>709</v>
      </c>
      <c r="F30" s="97" t="s">
        <v>783</v>
      </c>
      <c r="G30" s="97" t="s">
        <v>36</v>
      </c>
      <c r="H30" s="97" t="s">
        <v>37</v>
      </c>
      <c r="I30" s="97" t="s">
        <v>38</v>
      </c>
      <c r="J30" s="97" t="s">
        <v>39</v>
      </c>
      <c r="K30" s="97" t="s">
        <v>40</v>
      </c>
      <c r="L30" s="62">
        <v>45223</v>
      </c>
      <c r="M30" s="62">
        <v>45226</v>
      </c>
      <c r="N30" s="94">
        <f t="shared" si="16"/>
        <v>1085.32</v>
      </c>
      <c r="O30" s="94">
        <f t="shared" si="16"/>
        <v>1085.32</v>
      </c>
      <c r="P30" s="94">
        <f t="shared" si="0"/>
        <v>2170.64</v>
      </c>
      <c r="Q30" s="93">
        <v>4</v>
      </c>
      <c r="R30" s="63">
        <v>120</v>
      </c>
      <c r="S30" s="93">
        <v>0</v>
      </c>
      <c r="T30" s="63">
        <v>0</v>
      </c>
      <c r="U30" s="90">
        <f t="shared" si="1"/>
        <v>480</v>
      </c>
      <c r="V30" s="90">
        <f t="shared" si="11"/>
        <v>2650.64</v>
      </c>
      <c r="W30" s="90">
        <f t="shared" si="12"/>
        <v>2650.64</v>
      </c>
      <c r="X30" s="93"/>
    </row>
    <row r="31" spans="1:24" ht="14.25" customHeight="1"/>
    <row r="36" spans="3:6">
      <c r="E36" s="67" t="str">
        <f>UPPER(E45)</f>
        <v>EVENTO REGULATÓRIO COMMIT/MITSUI - QUANTUM</v>
      </c>
    </row>
    <row r="37" spans="3:6">
      <c r="F37" s="67" t="str">
        <f>UPPER(G15)</f>
        <v>NACIONAL</v>
      </c>
    </row>
    <row r="40" spans="3:6">
      <c r="F40" t="s">
        <v>784</v>
      </c>
    </row>
    <row r="41" spans="3:6">
      <c r="C41" t="s">
        <v>785</v>
      </c>
    </row>
    <row r="43" spans="3:6">
      <c r="F43" t="s">
        <v>786</v>
      </c>
    </row>
    <row r="45" spans="3:6">
      <c r="E45" t="s">
        <v>787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231</v>
      </c>
      <c r="B5" s="97" t="s">
        <v>231</v>
      </c>
      <c r="C5" s="97" t="s">
        <v>704</v>
      </c>
      <c r="D5" s="69">
        <v>0</v>
      </c>
      <c r="E5" s="97" t="s">
        <v>562</v>
      </c>
      <c r="F5" s="97" t="s">
        <v>788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62">
        <v>45257</v>
      </c>
      <c r="M5" s="62">
        <v>45260</v>
      </c>
      <c r="N5" s="94">
        <f>2296.41/2</f>
        <v>1148.2049999999999</v>
      </c>
      <c r="O5" s="94">
        <f>2296.41/2</f>
        <v>1148.2049999999999</v>
      </c>
      <c r="P5" s="94">
        <f t="shared" ref="P5:P16" si="0">SUM(N5:O5)</f>
        <v>2296.41</v>
      </c>
      <c r="Q5" s="93">
        <v>0</v>
      </c>
      <c r="R5" s="63">
        <v>120</v>
      </c>
      <c r="S5" s="93">
        <v>0</v>
      </c>
      <c r="T5" s="63">
        <v>0</v>
      </c>
      <c r="U5" s="90">
        <f t="shared" ref="U5:U16" si="1">Q5*R5+S5*T5</f>
        <v>0</v>
      </c>
      <c r="V5" s="90">
        <f t="shared" ref="V5:V15" si="2">P5+U5</f>
        <v>2296.41</v>
      </c>
      <c r="W5" s="90">
        <f t="shared" ref="W5:W16" si="3">V5</f>
        <v>2296.41</v>
      </c>
      <c r="X5" s="93"/>
    </row>
    <row r="6" spans="1:24" s="64" customFormat="1" ht="15">
      <c r="A6" s="97" t="s">
        <v>231</v>
      </c>
      <c r="B6" s="185" t="s">
        <v>366</v>
      </c>
      <c r="C6" s="97" t="s">
        <v>789</v>
      </c>
      <c r="D6" s="69">
        <v>393</v>
      </c>
      <c r="E6" s="98" t="s">
        <v>790</v>
      </c>
      <c r="F6" s="97" t="s">
        <v>788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62">
        <v>45257</v>
      </c>
      <c r="M6" s="62">
        <v>45260</v>
      </c>
      <c r="N6" s="94">
        <f>1979.29/2</f>
        <v>989.64499999999998</v>
      </c>
      <c r="O6" s="94">
        <f>1979.29/2</f>
        <v>989.64499999999998</v>
      </c>
      <c r="P6" s="94">
        <f t="shared" si="0"/>
        <v>1979.29</v>
      </c>
      <c r="Q6" s="93">
        <v>4</v>
      </c>
      <c r="R6" s="63">
        <v>120</v>
      </c>
      <c r="S6" s="93">
        <v>0</v>
      </c>
      <c r="T6" s="63">
        <v>0</v>
      </c>
      <c r="U6" s="90">
        <f t="shared" si="1"/>
        <v>480</v>
      </c>
      <c r="V6" s="90">
        <f t="shared" si="2"/>
        <v>2459.29</v>
      </c>
      <c r="W6" s="90">
        <f t="shared" si="3"/>
        <v>2459.29</v>
      </c>
      <c r="X6" s="93"/>
    </row>
    <row r="7" spans="1:24" s="64" customFormat="1" ht="15">
      <c r="A7" s="97" t="s">
        <v>231</v>
      </c>
      <c r="B7" s="97" t="s">
        <v>231</v>
      </c>
      <c r="C7" s="97" t="s">
        <v>704</v>
      </c>
      <c r="D7" s="69">
        <v>0</v>
      </c>
      <c r="E7" s="97" t="s">
        <v>562</v>
      </c>
      <c r="F7" s="98" t="s">
        <v>75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62">
        <v>45237</v>
      </c>
      <c r="M7" s="62">
        <v>45241</v>
      </c>
      <c r="N7" s="94">
        <f>3464.21/2</f>
        <v>1732.105</v>
      </c>
      <c r="O7" s="94">
        <f>3464.21/2</f>
        <v>1732.105</v>
      </c>
      <c r="P7" s="94">
        <f t="shared" si="0"/>
        <v>3464.21</v>
      </c>
      <c r="Q7" s="93">
        <v>0</v>
      </c>
      <c r="R7" s="63">
        <v>120</v>
      </c>
      <c r="S7" s="93">
        <v>0</v>
      </c>
      <c r="T7" s="63">
        <v>0</v>
      </c>
      <c r="U7" s="90">
        <f t="shared" si="1"/>
        <v>0</v>
      </c>
      <c r="V7" s="90">
        <f t="shared" si="2"/>
        <v>3464.21</v>
      </c>
      <c r="W7" s="90">
        <f t="shared" si="3"/>
        <v>3464.21</v>
      </c>
      <c r="X7" s="93"/>
    </row>
    <row r="8" spans="1:24" s="64" customFormat="1" ht="15">
      <c r="A8" s="97" t="s">
        <v>253</v>
      </c>
      <c r="B8" s="185" t="s">
        <v>253</v>
      </c>
      <c r="C8" s="97" t="s">
        <v>387</v>
      </c>
      <c r="D8" s="69">
        <v>0</v>
      </c>
      <c r="E8" s="97" t="s">
        <v>50</v>
      </c>
      <c r="F8" s="97" t="s">
        <v>791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62">
        <v>45258</v>
      </c>
      <c r="M8" s="62">
        <v>45259</v>
      </c>
      <c r="N8" s="94">
        <f>4699.52/2</f>
        <v>2349.7600000000002</v>
      </c>
      <c r="O8" s="94">
        <f>4699.52/2</f>
        <v>2349.7600000000002</v>
      </c>
      <c r="P8" s="94">
        <f t="shared" si="0"/>
        <v>4699.5200000000004</v>
      </c>
      <c r="Q8" s="93">
        <v>0</v>
      </c>
      <c r="R8" s="63">
        <v>120</v>
      </c>
      <c r="S8" s="93">
        <v>0</v>
      </c>
      <c r="T8" s="63">
        <v>0</v>
      </c>
      <c r="U8" s="90">
        <f t="shared" si="1"/>
        <v>0</v>
      </c>
      <c r="V8" s="90">
        <f t="shared" si="2"/>
        <v>4699.5200000000004</v>
      </c>
      <c r="W8" s="90">
        <f t="shared" si="3"/>
        <v>4699.5200000000004</v>
      </c>
      <c r="X8" s="93"/>
    </row>
    <row r="9" spans="1:24" s="64" customFormat="1" ht="15">
      <c r="A9" s="97" t="s">
        <v>231</v>
      </c>
      <c r="B9" s="185" t="s">
        <v>231</v>
      </c>
      <c r="C9" s="97" t="s">
        <v>704</v>
      </c>
      <c r="D9" s="69">
        <v>0</v>
      </c>
      <c r="E9" s="97" t="s">
        <v>562</v>
      </c>
      <c r="F9" s="97" t="s">
        <v>792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62">
        <v>45236</v>
      </c>
      <c r="M9" s="62">
        <v>45237</v>
      </c>
      <c r="N9" s="94">
        <f>3364.89/2</f>
        <v>1682.4449999999999</v>
      </c>
      <c r="O9" s="94">
        <f>3364.89/2</f>
        <v>1682.4449999999999</v>
      </c>
      <c r="P9" s="94">
        <f t="shared" si="0"/>
        <v>3364.89</v>
      </c>
      <c r="Q9" s="93">
        <v>2</v>
      </c>
      <c r="R9" s="63">
        <v>120</v>
      </c>
      <c r="S9" s="93">
        <v>0</v>
      </c>
      <c r="T9" s="63">
        <v>0</v>
      </c>
      <c r="U9" s="90">
        <f t="shared" si="1"/>
        <v>240</v>
      </c>
      <c r="V9" s="90">
        <f t="shared" si="2"/>
        <v>3604.89</v>
      </c>
      <c r="W9" s="90">
        <f t="shared" si="3"/>
        <v>3604.89</v>
      </c>
      <c r="X9" s="93"/>
    </row>
    <row r="10" spans="1:24" s="64" customFormat="1" ht="15">
      <c r="A10" s="97" t="s">
        <v>231</v>
      </c>
      <c r="B10" s="185" t="s">
        <v>215</v>
      </c>
      <c r="C10" s="97" t="s">
        <v>746</v>
      </c>
      <c r="D10" s="69">
        <v>386</v>
      </c>
      <c r="E10" s="97" t="s">
        <v>218</v>
      </c>
      <c r="F10" s="97" t="s">
        <v>793</v>
      </c>
      <c r="G10" s="97" t="s">
        <v>36</v>
      </c>
      <c r="H10" s="97" t="s">
        <v>37</v>
      </c>
      <c r="I10" s="97" t="s">
        <v>38</v>
      </c>
      <c r="J10" s="97" t="s">
        <v>39</v>
      </c>
      <c r="K10" s="97" t="s">
        <v>40</v>
      </c>
      <c r="L10" s="62">
        <v>45253</v>
      </c>
      <c r="M10" s="62">
        <v>45254</v>
      </c>
      <c r="N10" s="94">
        <f>5920.25</f>
        <v>5920.25</v>
      </c>
      <c r="O10" s="94">
        <v>1055.73</v>
      </c>
      <c r="P10" s="94">
        <f t="shared" si="0"/>
        <v>6975.98</v>
      </c>
      <c r="Q10" s="93">
        <v>2</v>
      </c>
      <c r="R10" s="63">
        <v>120</v>
      </c>
      <c r="S10" s="93">
        <v>0</v>
      </c>
      <c r="T10" s="63">
        <v>0</v>
      </c>
      <c r="U10" s="90">
        <f t="shared" si="1"/>
        <v>240</v>
      </c>
      <c r="V10" s="90">
        <f t="shared" si="2"/>
        <v>7215.98</v>
      </c>
      <c r="W10" s="90">
        <f t="shared" si="3"/>
        <v>7215.98</v>
      </c>
      <c r="X10" s="93"/>
    </row>
    <row r="11" spans="1:24" s="64" customFormat="1" ht="15">
      <c r="A11" s="97"/>
      <c r="B11" s="185" t="s">
        <v>226</v>
      </c>
      <c r="C11" s="97" t="s">
        <v>46</v>
      </c>
      <c r="D11" s="69">
        <v>232</v>
      </c>
      <c r="E11" s="97" t="s">
        <v>47</v>
      </c>
      <c r="F11" s="97" t="s">
        <v>794</v>
      </c>
      <c r="G11" s="97" t="s">
        <v>36</v>
      </c>
      <c r="H11" s="97" t="s">
        <v>37</v>
      </c>
      <c r="I11" s="97" t="s">
        <v>38</v>
      </c>
      <c r="J11" s="97" t="s">
        <v>104</v>
      </c>
      <c r="K11" s="97" t="s">
        <v>105</v>
      </c>
      <c r="L11" s="62">
        <v>45252</v>
      </c>
      <c r="M11" s="62">
        <v>45254</v>
      </c>
      <c r="N11" s="94">
        <f>2386.3/2</f>
        <v>1193.1500000000001</v>
      </c>
      <c r="O11" s="94">
        <f>2386.3/2</f>
        <v>1193.1500000000001</v>
      </c>
      <c r="P11" s="94">
        <f t="shared" si="0"/>
        <v>2386.3000000000002</v>
      </c>
      <c r="Q11" s="93">
        <v>3</v>
      </c>
      <c r="R11" s="63">
        <v>120</v>
      </c>
      <c r="S11" s="93">
        <v>0</v>
      </c>
      <c r="T11" s="63">
        <v>0</v>
      </c>
      <c r="U11" s="90">
        <f t="shared" si="1"/>
        <v>360</v>
      </c>
      <c r="V11" s="90">
        <f t="shared" si="2"/>
        <v>2746.3</v>
      </c>
      <c r="W11" s="90">
        <f t="shared" si="3"/>
        <v>2746.3</v>
      </c>
      <c r="X11" s="93"/>
    </row>
    <row r="12" spans="1:24" s="64" customFormat="1" ht="15">
      <c r="A12" s="97" t="s">
        <v>253</v>
      </c>
      <c r="B12" s="97" t="s">
        <v>212</v>
      </c>
      <c r="C12" s="97" t="s">
        <v>270</v>
      </c>
      <c r="D12" s="69" t="s">
        <v>168</v>
      </c>
      <c r="E12" s="97" t="s">
        <v>599</v>
      </c>
      <c r="F12" s="97" t="s">
        <v>795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62">
        <v>45243</v>
      </c>
      <c r="M12" s="62">
        <v>45244</v>
      </c>
      <c r="N12" s="94">
        <f>1429.3/2</f>
        <v>714.65</v>
      </c>
      <c r="O12" s="94">
        <f>1429.3/2</f>
        <v>714.65</v>
      </c>
      <c r="P12" s="94">
        <f t="shared" si="0"/>
        <v>1429.3</v>
      </c>
      <c r="Q12" s="93">
        <v>2</v>
      </c>
      <c r="R12" s="63">
        <v>120</v>
      </c>
      <c r="S12" s="93">
        <v>0</v>
      </c>
      <c r="T12" s="63">
        <v>0</v>
      </c>
      <c r="U12" s="90">
        <f t="shared" si="1"/>
        <v>240</v>
      </c>
      <c r="V12" s="90">
        <f t="shared" si="2"/>
        <v>1669.3</v>
      </c>
      <c r="W12" s="90">
        <f t="shared" si="3"/>
        <v>1669.3</v>
      </c>
      <c r="X12" s="93"/>
    </row>
    <row r="13" spans="1:24" s="64" customFormat="1" ht="15">
      <c r="A13" s="97" t="s">
        <v>253</v>
      </c>
      <c r="B13" s="97" t="s">
        <v>259</v>
      </c>
      <c r="C13" s="97" t="s">
        <v>383</v>
      </c>
      <c r="D13" s="69">
        <v>65</v>
      </c>
      <c r="E13" s="97" t="s">
        <v>796</v>
      </c>
      <c r="F13" s="97" t="s">
        <v>797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62">
        <v>45236</v>
      </c>
      <c r="M13" s="62">
        <v>45237</v>
      </c>
      <c r="N13" s="94">
        <f>3474.52/2</f>
        <v>1737.26</v>
      </c>
      <c r="O13" s="94">
        <f>3474.52/2</f>
        <v>1737.26</v>
      </c>
      <c r="P13" s="94">
        <f t="shared" si="0"/>
        <v>3474.52</v>
      </c>
      <c r="Q13" s="93">
        <v>2</v>
      </c>
      <c r="R13" s="63">
        <v>120</v>
      </c>
      <c r="S13" s="93">
        <v>0</v>
      </c>
      <c r="T13" s="63">
        <v>0</v>
      </c>
      <c r="U13" s="90">
        <f t="shared" si="1"/>
        <v>240</v>
      </c>
      <c r="V13" s="90">
        <f t="shared" si="2"/>
        <v>3714.52</v>
      </c>
      <c r="W13" s="90">
        <f t="shared" si="3"/>
        <v>3714.52</v>
      </c>
      <c r="X13" s="93"/>
    </row>
    <row r="14" spans="1:24" s="64" customFormat="1" ht="15">
      <c r="A14" s="97" t="s">
        <v>253</v>
      </c>
      <c r="B14" s="97" t="s">
        <v>253</v>
      </c>
      <c r="C14" s="97" t="s">
        <v>387</v>
      </c>
      <c r="D14" s="69">
        <v>0</v>
      </c>
      <c r="E14" s="97" t="s">
        <v>50</v>
      </c>
      <c r="F14" s="97" t="s">
        <v>792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62">
        <v>45238</v>
      </c>
      <c r="M14" s="62">
        <v>45238</v>
      </c>
      <c r="N14" s="94">
        <f>1687.36/2</f>
        <v>843.68</v>
      </c>
      <c r="O14" s="94">
        <f>1687.36/2</f>
        <v>843.68</v>
      </c>
      <c r="P14" s="94">
        <f t="shared" si="0"/>
        <v>1687.36</v>
      </c>
      <c r="Q14" s="93">
        <v>0</v>
      </c>
      <c r="R14" s="63">
        <v>120</v>
      </c>
      <c r="S14" s="93">
        <v>0</v>
      </c>
      <c r="T14" s="63">
        <v>0</v>
      </c>
      <c r="U14" s="90">
        <f t="shared" si="1"/>
        <v>0</v>
      </c>
      <c r="V14" s="90">
        <f t="shared" si="2"/>
        <v>1687.36</v>
      </c>
      <c r="W14" s="90">
        <f t="shared" si="3"/>
        <v>1687.36</v>
      </c>
      <c r="X14" s="93"/>
    </row>
    <row r="15" spans="1:24" s="64" customFormat="1" ht="15">
      <c r="A15" s="97" t="s">
        <v>231</v>
      </c>
      <c r="B15" s="97" t="s">
        <v>231</v>
      </c>
      <c r="C15" s="97" t="s">
        <v>768</v>
      </c>
      <c r="D15" s="69">
        <v>392</v>
      </c>
      <c r="E15" s="97" t="s">
        <v>798</v>
      </c>
      <c r="F15" s="97" t="s">
        <v>792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62">
        <v>45236</v>
      </c>
      <c r="M15" s="62">
        <v>45237</v>
      </c>
      <c r="N15" s="94">
        <f>4185.9/2</f>
        <v>2092.9499999999998</v>
      </c>
      <c r="O15" s="94">
        <f>4185.9/2</f>
        <v>2092.9499999999998</v>
      </c>
      <c r="P15" s="94">
        <f t="shared" si="0"/>
        <v>4185.8999999999996</v>
      </c>
      <c r="Q15" s="93">
        <v>2</v>
      </c>
      <c r="R15" s="63">
        <v>120</v>
      </c>
      <c r="S15" s="93">
        <v>0</v>
      </c>
      <c r="T15" s="63">
        <v>0</v>
      </c>
      <c r="U15" s="90">
        <f t="shared" si="1"/>
        <v>240</v>
      </c>
      <c r="V15" s="90">
        <f t="shared" si="2"/>
        <v>4425.8999999999996</v>
      </c>
      <c r="W15" s="90">
        <f t="shared" si="3"/>
        <v>4425.8999999999996</v>
      </c>
      <c r="X15" s="93"/>
    </row>
    <row r="16" spans="1:24" s="64" customFormat="1" ht="15">
      <c r="A16" s="97" t="s">
        <v>231</v>
      </c>
      <c r="B16" s="97" t="s">
        <v>241</v>
      </c>
      <c r="C16" s="97" t="s">
        <v>701</v>
      </c>
      <c r="D16" s="69">
        <v>394</v>
      </c>
      <c r="E16" s="97" t="s">
        <v>702</v>
      </c>
      <c r="F16" s="97" t="s">
        <v>792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62">
        <v>45236</v>
      </c>
      <c r="M16" s="62">
        <v>45237</v>
      </c>
      <c r="N16" s="94">
        <f>4185.9/2</f>
        <v>2092.9499999999998</v>
      </c>
      <c r="O16" s="94">
        <f>4185.9/2</f>
        <v>2092.9499999999998</v>
      </c>
      <c r="P16" s="94">
        <f t="shared" si="0"/>
        <v>4185.8999999999996</v>
      </c>
      <c r="Q16" s="93">
        <v>2</v>
      </c>
      <c r="R16" s="63">
        <v>120</v>
      </c>
      <c r="S16" s="93">
        <v>0</v>
      </c>
      <c r="T16" s="63">
        <v>0</v>
      </c>
      <c r="U16" s="90">
        <f t="shared" si="1"/>
        <v>240</v>
      </c>
      <c r="V16" s="90">
        <f>P16+U16</f>
        <v>4425.8999999999996</v>
      </c>
      <c r="W16" s="90">
        <f t="shared" si="3"/>
        <v>4425.8999999999996</v>
      </c>
      <c r="X16" s="93"/>
    </row>
    <row r="17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231</v>
      </c>
      <c r="B5" s="97" t="s">
        <v>229</v>
      </c>
      <c r="C5" s="97" t="s">
        <v>729</v>
      </c>
      <c r="D5" s="69">
        <v>387</v>
      </c>
      <c r="E5" s="97" t="s">
        <v>248</v>
      </c>
      <c r="F5" s="97" t="s">
        <v>799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2">
        <v>45271</v>
      </c>
      <c r="M5" s="62">
        <v>45272</v>
      </c>
      <c r="N5" s="94">
        <f>1634.81/2</f>
        <v>817.40499999999997</v>
      </c>
      <c r="O5" s="94">
        <f>1634.81/2</f>
        <v>817.40499999999997</v>
      </c>
      <c r="P5" s="94">
        <f t="shared" ref="P5:P10" si="0">SUM(N5:O5)</f>
        <v>1634.81</v>
      </c>
      <c r="Q5" s="93">
        <v>3</v>
      </c>
      <c r="R5" s="63">
        <v>120</v>
      </c>
      <c r="S5" s="93">
        <v>0</v>
      </c>
      <c r="T5" s="63">
        <v>0</v>
      </c>
      <c r="U5" s="90">
        <f t="shared" ref="U5:U10" si="1">Q5*R5+S5*T5</f>
        <v>360</v>
      </c>
      <c r="V5" s="90">
        <f t="shared" ref="V5:V10" si="2">P5+U5</f>
        <v>1994.81</v>
      </c>
      <c r="W5" s="90">
        <f t="shared" ref="W5:W10" si="3">V5</f>
        <v>1994.81</v>
      </c>
      <c r="X5" s="93"/>
    </row>
    <row r="6" spans="1:24" s="64" customFormat="1" ht="15">
      <c r="A6" s="97" t="s">
        <v>231</v>
      </c>
      <c r="B6" s="97" t="s">
        <v>231</v>
      </c>
      <c r="C6" s="97" t="s">
        <v>704</v>
      </c>
      <c r="D6" s="69">
        <v>0</v>
      </c>
      <c r="E6" s="97" t="s">
        <v>562</v>
      </c>
      <c r="F6" s="97" t="s">
        <v>800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62">
        <v>45266</v>
      </c>
      <c r="M6" s="62">
        <v>45268</v>
      </c>
      <c r="N6" s="94">
        <f>2945.25/2</f>
        <v>1472.625</v>
      </c>
      <c r="O6" s="94">
        <f>2945.25/2</f>
        <v>1472.625</v>
      </c>
      <c r="P6" s="94">
        <f t="shared" si="0"/>
        <v>2945.25</v>
      </c>
      <c r="Q6" s="93">
        <v>0</v>
      </c>
      <c r="R6" s="63">
        <v>120</v>
      </c>
      <c r="S6" s="93">
        <v>0</v>
      </c>
      <c r="T6" s="63">
        <v>0</v>
      </c>
      <c r="U6" s="90">
        <f t="shared" si="1"/>
        <v>0</v>
      </c>
      <c r="V6" s="90">
        <f t="shared" si="2"/>
        <v>2945.25</v>
      </c>
      <c r="W6" s="90">
        <f t="shared" si="3"/>
        <v>2945.25</v>
      </c>
      <c r="X6" s="93"/>
    </row>
    <row r="7" spans="1:24" s="64" customFormat="1" ht="15">
      <c r="A7" s="97" t="s">
        <v>253</v>
      </c>
      <c r="B7" s="97" t="s">
        <v>253</v>
      </c>
      <c r="C7" s="97" t="s">
        <v>387</v>
      </c>
      <c r="D7" s="69">
        <v>0</v>
      </c>
      <c r="E7" s="97" t="s">
        <v>50</v>
      </c>
      <c r="F7" s="97" t="s">
        <v>801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62">
        <v>45273</v>
      </c>
      <c r="M7" s="62">
        <v>45274</v>
      </c>
      <c r="N7" s="94">
        <f>2092/2</f>
        <v>1046</v>
      </c>
      <c r="O7" s="94">
        <f>2092/2</f>
        <v>1046</v>
      </c>
      <c r="P7" s="94">
        <f t="shared" si="0"/>
        <v>2092</v>
      </c>
      <c r="Q7" s="93">
        <v>0</v>
      </c>
      <c r="R7" s="63">
        <v>120</v>
      </c>
      <c r="S7" s="93">
        <v>0</v>
      </c>
      <c r="T7" s="63">
        <v>0</v>
      </c>
      <c r="U7" s="90">
        <f t="shared" si="1"/>
        <v>0</v>
      </c>
      <c r="V7" s="90">
        <f t="shared" si="2"/>
        <v>2092</v>
      </c>
      <c r="W7" s="90">
        <f t="shared" si="3"/>
        <v>2092</v>
      </c>
      <c r="X7" s="93"/>
    </row>
    <row r="8" spans="1:24" s="64" customFormat="1" ht="15">
      <c r="A8" s="97" t="s">
        <v>253</v>
      </c>
      <c r="B8" s="97" t="s">
        <v>259</v>
      </c>
      <c r="C8" s="97" t="s">
        <v>802</v>
      </c>
      <c r="D8" s="69">
        <v>404</v>
      </c>
      <c r="E8" s="97" t="s">
        <v>803</v>
      </c>
      <c r="F8" s="97" t="s">
        <v>800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62">
        <v>45267</v>
      </c>
      <c r="M8" s="62">
        <v>45268</v>
      </c>
      <c r="N8" s="94">
        <f>2884/2</f>
        <v>1442</v>
      </c>
      <c r="O8" s="94">
        <f>2884/2</f>
        <v>1442</v>
      </c>
      <c r="P8" s="94">
        <f t="shared" si="0"/>
        <v>2884</v>
      </c>
      <c r="Q8" s="93">
        <v>2</v>
      </c>
      <c r="R8" s="63">
        <v>120</v>
      </c>
      <c r="S8" s="93">
        <v>0</v>
      </c>
      <c r="T8" s="63">
        <v>0</v>
      </c>
      <c r="U8" s="90">
        <f t="shared" si="1"/>
        <v>240</v>
      </c>
      <c r="V8" s="90">
        <f t="shared" si="2"/>
        <v>3124</v>
      </c>
      <c r="W8" s="90">
        <f t="shared" si="3"/>
        <v>3124</v>
      </c>
      <c r="X8" s="93"/>
    </row>
    <row r="9" spans="1:24" s="64" customFormat="1" ht="15">
      <c r="A9" s="97" t="s">
        <v>253</v>
      </c>
      <c r="B9" s="97" t="s">
        <v>212</v>
      </c>
      <c r="C9" s="97" t="s">
        <v>270</v>
      </c>
      <c r="D9" s="69" t="s">
        <v>168</v>
      </c>
      <c r="E9" s="97" t="s">
        <v>599</v>
      </c>
      <c r="F9" s="97" t="s">
        <v>804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2">
        <v>45273</v>
      </c>
      <c r="M9" s="62">
        <v>45274</v>
      </c>
      <c r="N9" s="94">
        <f>979.78/2</f>
        <v>489.89</v>
      </c>
      <c r="O9" s="94">
        <f>979.78/2</f>
        <v>489.89</v>
      </c>
      <c r="P9" s="94">
        <f t="shared" si="0"/>
        <v>979.78</v>
      </c>
      <c r="Q9" s="93">
        <v>2</v>
      </c>
      <c r="R9" s="63">
        <v>120</v>
      </c>
      <c r="S9" s="93">
        <v>0</v>
      </c>
      <c r="T9" s="63">
        <v>0</v>
      </c>
      <c r="U9" s="90">
        <f t="shared" si="1"/>
        <v>240</v>
      </c>
      <c r="V9" s="90">
        <f t="shared" si="2"/>
        <v>1219.78</v>
      </c>
      <c r="W9" s="90">
        <f t="shared" si="3"/>
        <v>1219.78</v>
      </c>
      <c r="X9" s="93"/>
    </row>
    <row r="10" spans="1:24" s="64" customFormat="1" ht="15">
      <c r="A10" s="97" t="s">
        <v>253</v>
      </c>
      <c r="B10" s="97" t="s">
        <v>212</v>
      </c>
      <c r="C10" s="97" t="s">
        <v>620</v>
      </c>
      <c r="D10" s="69">
        <v>365</v>
      </c>
      <c r="E10" s="97" t="s">
        <v>34</v>
      </c>
      <c r="F10" s="97" t="s">
        <v>804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2">
        <v>45273</v>
      </c>
      <c r="M10" s="62">
        <v>45274</v>
      </c>
      <c r="N10" s="94">
        <f>979.78/2</f>
        <v>489.89</v>
      </c>
      <c r="O10" s="94">
        <f>979.78/2</f>
        <v>489.89</v>
      </c>
      <c r="P10" s="94">
        <f t="shared" si="0"/>
        <v>979.78</v>
      </c>
      <c r="Q10" s="93">
        <v>2</v>
      </c>
      <c r="R10" s="63">
        <v>120</v>
      </c>
      <c r="S10" s="93">
        <v>0</v>
      </c>
      <c r="T10" s="63">
        <v>0</v>
      </c>
      <c r="U10" s="90">
        <f t="shared" si="1"/>
        <v>240</v>
      </c>
      <c r="V10" s="90">
        <f t="shared" si="2"/>
        <v>1219.78</v>
      </c>
      <c r="W10" s="90">
        <f t="shared" si="3"/>
        <v>1219.78</v>
      </c>
      <c r="X10" s="93"/>
    </row>
    <row r="11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231</v>
      </c>
      <c r="B5" s="97" t="s">
        <v>231</v>
      </c>
      <c r="C5" s="97" t="s">
        <v>704</v>
      </c>
      <c r="D5" s="69">
        <v>0</v>
      </c>
      <c r="E5" s="97" t="s">
        <v>562</v>
      </c>
      <c r="F5" s="97" t="s">
        <v>805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62">
        <v>45300</v>
      </c>
      <c r="M5" s="62">
        <v>45303</v>
      </c>
      <c r="N5" s="94">
        <f>3367.92/2</f>
        <v>1683.96</v>
      </c>
      <c r="O5" s="94">
        <f>3367.92/2</f>
        <v>1683.96</v>
      </c>
      <c r="P5" s="94">
        <f t="shared" ref="P5:P7" si="0">SUM(N5:O5)</f>
        <v>3367.92</v>
      </c>
      <c r="Q5" s="93">
        <v>0</v>
      </c>
      <c r="R5" s="63">
        <v>120</v>
      </c>
      <c r="S5" s="93">
        <v>0</v>
      </c>
      <c r="T5" s="63">
        <v>0</v>
      </c>
      <c r="U5" s="90">
        <f t="shared" ref="U5:U7" si="1">Q5*R5+S5*T5</f>
        <v>0</v>
      </c>
      <c r="V5" s="90">
        <f t="shared" ref="V5:V7" si="2">P5+U5</f>
        <v>3367.92</v>
      </c>
      <c r="W5" s="90">
        <f t="shared" ref="W5:W7" si="3">V5</f>
        <v>3367.92</v>
      </c>
      <c r="X5" s="93"/>
    </row>
    <row r="6" spans="1:24" s="64" customFormat="1" ht="15">
      <c r="A6" s="97" t="s">
        <v>371</v>
      </c>
      <c r="B6" s="97" t="s">
        <v>240</v>
      </c>
      <c r="C6" s="97" t="s">
        <v>448</v>
      </c>
      <c r="D6" s="69">
        <v>336</v>
      </c>
      <c r="E6" s="97" t="s">
        <v>294</v>
      </c>
      <c r="F6" s="97" t="s">
        <v>740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62">
        <v>45312</v>
      </c>
      <c r="M6" s="62">
        <v>45313</v>
      </c>
      <c r="N6" s="94">
        <f>1485.78/2</f>
        <v>742.89</v>
      </c>
      <c r="O6" s="94">
        <f>1485.78/2</f>
        <v>742.89</v>
      </c>
      <c r="P6" s="94">
        <f t="shared" si="0"/>
        <v>1485.78</v>
      </c>
      <c r="Q6" s="93">
        <v>2</v>
      </c>
      <c r="R6" s="63">
        <v>120</v>
      </c>
      <c r="S6" s="93">
        <v>0</v>
      </c>
      <c r="T6" s="63">
        <v>0</v>
      </c>
      <c r="U6" s="90">
        <f t="shared" si="1"/>
        <v>240</v>
      </c>
      <c r="V6" s="90">
        <f t="shared" si="2"/>
        <v>1725.78</v>
      </c>
      <c r="W6" s="90">
        <f t="shared" si="3"/>
        <v>1725.78</v>
      </c>
      <c r="X6" s="93"/>
    </row>
    <row r="7" spans="1:24" s="64" customFormat="1" ht="15">
      <c r="A7" s="97" t="s">
        <v>231</v>
      </c>
      <c r="B7" s="97" t="s">
        <v>215</v>
      </c>
      <c r="C7" s="97" t="s">
        <v>746</v>
      </c>
      <c r="D7" s="69">
        <v>386</v>
      </c>
      <c r="E7" s="97" t="s">
        <v>218</v>
      </c>
      <c r="F7" s="97" t="s">
        <v>740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62">
        <v>45312</v>
      </c>
      <c r="M7" s="62">
        <v>45313</v>
      </c>
      <c r="N7" s="94">
        <f>1558.31/2</f>
        <v>779.15499999999997</v>
      </c>
      <c r="O7" s="94">
        <f>1558.31/2</f>
        <v>779.15499999999997</v>
      </c>
      <c r="P7" s="94">
        <f t="shared" si="0"/>
        <v>1558.31</v>
      </c>
      <c r="Q7" s="93">
        <v>2</v>
      </c>
      <c r="R7" s="63">
        <v>120</v>
      </c>
      <c r="S7" s="93">
        <v>0</v>
      </c>
      <c r="T7" s="63">
        <v>0</v>
      </c>
      <c r="U7" s="90">
        <f t="shared" si="1"/>
        <v>240</v>
      </c>
      <c r="V7" s="90">
        <f t="shared" si="2"/>
        <v>1798.31</v>
      </c>
      <c r="W7" s="90">
        <f t="shared" si="3"/>
        <v>1798.31</v>
      </c>
      <c r="X7" s="93"/>
    </row>
    <row r="8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6" sqref="D16:E1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30">
      <c r="A5" s="97" t="s">
        <v>231</v>
      </c>
      <c r="B5" s="97" t="s">
        <v>231</v>
      </c>
      <c r="C5" s="97" t="s">
        <v>704</v>
      </c>
      <c r="D5" s="69">
        <v>0</v>
      </c>
      <c r="E5" s="97" t="s">
        <v>562</v>
      </c>
      <c r="F5" s="98" t="s">
        <v>806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2">
        <v>45327</v>
      </c>
      <c r="M5" s="62">
        <v>45329</v>
      </c>
      <c r="N5" s="94">
        <f>1227.84/2</f>
        <v>613.91999999999996</v>
      </c>
      <c r="O5" s="94">
        <f>1227.84/2</f>
        <v>613.91999999999996</v>
      </c>
      <c r="P5" s="94">
        <f t="shared" ref="P5:P10" si="0">SUM(N5:O5)</f>
        <v>1227.8399999999999</v>
      </c>
      <c r="Q5" s="93">
        <v>0</v>
      </c>
      <c r="R5" s="63">
        <v>120</v>
      </c>
      <c r="S5" s="93">
        <v>0</v>
      </c>
      <c r="T5" s="63">
        <v>0</v>
      </c>
      <c r="U5" s="90">
        <f t="shared" ref="U5:U7" si="1">Q5*R5+S5*T5</f>
        <v>0</v>
      </c>
      <c r="V5" s="90">
        <f t="shared" ref="V5:V7" si="2">P5+U5</f>
        <v>1227.8399999999999</v>
      </c>
      <c r="W5" s="90">
        <f t="shared" ref="W5:W7" si="3">V5</f>
        <v>1227.8399999999999</v>
      </c>
      <c r="X5" s="93"/>
    </row>
    <row r="6" spans="1:24" s="64" customFormat="1" ht="30">
      <c r="A6" s="97" t="s">
        <v>253</v>
      </c>
      <c r="B6" s="97" t="s">
        <v>253</v>
      </c>
      <c r="C6" s="97" t="s">
        <v>675</v>
      </c>
      <c r="D6" s="69">
        <v>383</v>
      </c>
      <c r="E6" s="97" t="s">
        <v>698</v>
      </c>
      <c r="F6" s="98" t="s">
        <v>806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2">
        <v>45327</v>
      </c>
      <c r="M6" s="62">
        <v>45329</v>
      </c>
      <c r="N6" s="94">
        <f>1204.78/2</f>
        <v>602.39</v>
      </c>
      <c r="O6" s="94">
        <f>1204.78/2</f>
        <v>602.39</v>
      </c>
      <c r="P6" s="94">
        <f t="shared" si="0"/>
        <v>1204.78</v>
      </c>
      <c r="Q6" s="93">
        <v>3</v>
      </c>
      <c r="R6" s="63">
        <v>120</v>
      </c>
      <c r="S6" s="93">
        <v>0</v>
      </c>
      <c r="T6" s="63">
        <v>0</v>
      </c>
      <c r="U6" s="90">
        <f t="shared" si="1"/>
        <v>360</v>
      </c>
      <c r="V6" s="90">
        <f t="shared" si="2"/>
        <v>1564.78</v>
      </c>
      <c r="W6" s="90">
        <f t="shared" si="3"/>
        <v>1564.78</v>
      </c>
      <c r="X6" s="93"/>
    </row>
    <row r="7" spans="1:24" s="64" customFormat="1" ht="30">
      <c r="A7" s="97" t="s">
        <v>253</v>
      </c>
      <c r="B7" s="97" t="s">
        <v>259</v>
      </c>
      <c r="C7" s="97" t="s">
        <v>802</v>
      </c>
      <c r="D7" s="69">
        <v>404</v>
      </c>
      <c r="E7" s="97" t="s">
        <v>803</v>
      </c>
      <c r="F7" s="98" t="s">
        <v>806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2">
        <v>45327</v>
      </c>
      <c r="M7" s="62">
        <v>45329</v>
      </c>
      <c r="N7" s="94">
        <f>1204.78/2</f>
        <v>602.39</v>
      </c>
      <c r="O7" s="94">
        <f>1204.78/2</f>
        <v>602.39</v>
      </c>
      <c r="P7" s="94">
        <f t="shared" si="0"/>
        <v>1204.78</v>
      </c>
      <c r="Q7" s="93">
        <v>3</v>
      </c>
      <c r="R7" s="63">
        <v>120</v>
      </c>
      <c r="S7" s="93">
        <v>0</v>
      </c>
      <c r="T7" s="63">
        <v>0</v>
      </c>
      <c r="U7" s="90">
        <f t="shared" si="1"/>
        <v>360</v>
      </c>
      <c r="V7" s="90">
        <f t="shared" si="2"/>
        <v>1564.78</v>
      </c>
      <c r="W7" s="90">
        <f t="shared" si="3"/>
        <v>1564.78</v>
      </c>
      <c r="X7" s="93"/>
    </row>
    <row r="8" spans="1:24" s="64" customFormat="1" ht="30">
      <c r="A8" s="97" t="s">
        <v>231</v>
      </c>
      <c r="B8" s="97" t="s">
        <v>215</v>
      </c>
      <c r="C8" s="97" t="s">
        <v>746</v>
      </c>
      <c r="D8" s="69">
        <v>386</v>
      </c>
      <c r="E8" s="97" t="s">
        <v>218</v>
      </c>
      <c r="F8" s="98" t="s">
        <v>806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2">
        <v>45327</v>
      </c>
      <c r="M8" s="62">
        <v>45329</v>
      </c>
      <c r="N8" s="94">
        <f>1227.84/2</f>
        <v>613.91999999999996</v>
      </c>
      <c r="O8" s="94">
        <f>1227.84/2</f>
        <v>613.91999999999996</v>
      </c>
      <c r="P8" s="94">
        <f t="shared" si="0"/>
        <v>1227.8399999999999</v>
      </c>
      <c r="Q8" s="93">
        <v>3</v>
      </c>
      <c r="R8" s="63">
        <v>120</v>
      </c>
      <c r="S8" s="93">
        <v>0</v>
      </c>
      <c r="T8" s="63">
        <v>0</v>
      </c>
      <c r="U8" s="90">
        <f t="shared" ref="U8:U10" si="4">Q8*R8+S8*T8</f>
        <v>360</v>
      </c>
      <c r="V8" s="90">
        <f t="shared" ref="V8:V10" si="5">P8+U8</f>
        <v>1587.84</v>
      </c>
      <c r="W8" s="90">
        <f t="shared" ref="W8:W10" si="6">V8</f>
        <v>1587.84</v>
      </c>
      <c r="X8" s="93"/>
    </row>
    <row r="9" spans="1:24" s="64" customFormat="1" ht="30">
      <c r="A9" s="97" t="s">
        <v>253</v>
      </c>
      <c r="B9" s="97" t="s">
        <v>764</v>
      </c>
      <c r="C9" s="97" t="s">
        <v>731</v>
      </c>
      <c r="D9" s="69">
        <v>390</v>
      </c>
      <c r="E9" s="97" t="s">
        <v>765</v>
      </c>
      <c r="F9" s="98" t="s">
        <v>806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2">
        <v>45327</v>
      </c>
      <c r="M9" s="62">
        <v>45329</v>
      </c>
      <c r="N9" s="94">
        <f>1517.71/2</f>
        <v>758.85500000000002</v>
      </c>
      <c r="O9" s="94">
        <f>1517.71/2</f>
        <v>758.85500000000002</v>
      </c>
      <c r="P9" s="94">
        <f t="shared" si="0"/>
        <v>1517.71</v>
      </c>
      <c r="Q9" s="93">
        <v>3</v>
      </c>
      <c r="R9" s="63">
        <v>120</v>
      </c>
      <c r="S9" s="93">
        <v>0</v>
      </c>
      <c r="T9" s="63">
        <v>0</v>
      </c>
      <c r="U9" s="90">
        <f t="shared" si="4"/>
        <v>360</v>
      </c>
      <c r="V9" s="90">
        <f t="shared" si="5"/>
        <v>1877.71</v>
      </c>
      <c r="W9" s="90">
        <f t="shared" si="6"/>
        <v>1877.71</v>
      </c>
      <c r="X9" s="93"/>
    </row>
    <row r="10" spans="1:24" s="64" customFormat="1" ht="30">
      <c r="A10" s="97" t="s">
        <v>231</v>
      </c>
      <c r="B10" s="97" t="s">
        <v>231</v>
      </c>
      <c r="C10" s="97" t="s">
        <v>768</v>
      </c>
      <c r="D10" s="69">
        <v>392</v>
      </c>
      <c r="E10" s="97" t="s">
        <v>769</v>
      </c>
      <c r="F10" s="98" t="s">
        <v>806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2">
        <v>45327</v>
      </c>
      <c r="M10" s="62">
        <v>45329</v>
      </c>
      <c r="N10" s="94">
        <f>1517.71/2</f>
        <v>758.85500000000002</v>
      </c>
      <c r="O10" s="94">
        <f>1517.71/2</f>
        <v>758.85500000000002</v>
      </c>
      <c r="P10" s="94">
        <f t="shared" si="0"/>
        <v>1517.71</v>
      </c>
      <c r="Q10" s="93">
        <v>3</v>
      </c>
      <c r="R10" s="63">
        <v>120</v>
      </c>
      <c r="S10" s="93">
        <v>0</v>
      </c>
      <c r="T10" s="63">
        <v>0</v>
      </c>
      <c r="U10" s="90">
        <f t="shared" si="4"/>
        <v>360</v>
      </c>
      <c r="V10" s="90">
        <f t="shared" si="5"/>
        <v>1877.71</v>
      </c>
      <c r="W10" s="90">
        <f t="shared" si="6"/>
        <v>1877.71</v>
      </c>
      <c r="X10" s="93"/>
    </row>
    <row r="11" spans="1:24" s="64" customFormat="1" ht="15">
      <c r="A11" s="97" t="s">
        <v>231</v>
      </c>
      <c r="B11" s="97" t="s">
        <v>231</v>
      </c>
      <c r="C11" s="97" t="s">
        <v>704</v>
      </c>
      <c r="D11" s="69">
        <v>0</v>
      </c>
      <c r="E11" s="97" t="s">
        <v>562</v>
      </c>
      <c r="F11" s="98" t="s">
        <v>807</v>
      </c>
      <c r="G11" s="97" t="s">
        <v>36</v>
      </c>
      <c r="H11" s="97" t="s">
        <v>37</v>
      </c>
      <c r="I11" s="97" t="s">
        <v>38</v>
      </c>
      <c r="J11" s="97" t="s">
        <v>62</v>
      </c>
      <c r="K11" s="97" t="s">
        <v>63</v>
      </c>
      <c r="L11" s="62">
        <v>45347</v>
      </c>
      <c r="M11" s="62">
        <v>46446</v>
      </c>
      <c r="N11" s="94">
        <f>1464.87/2</f>
        <v>732.43499999999995</v>
      </c>
      <c r="O11" s="94">
        <f>1464.87/2</f>
        <v>732.43499999999995</v>
      </c>
      <c r="P11" s="94">
        <f t="shared" ref="P11" si="7">SUM(N11:O11)</f>
        <v>1464.87</v>
      </c>
      <c r="Q11" s="93">
        <v>0</v>
      </c>
      <c r="R11" s="63">
        <v>120</v>
      </c>
      <c r="S11" s="93">
        <v>0</v>
      </c>
      <c r="T11" s="63">
        <v>0</v>
      </c>
      <c r="U11" s="90">
        <f t="shared" ref="U11" si="8">Q11*R11+S11*T11</f>
        <v>0</v>
      </c>
      <c r="V11" s="90">
        <f t="shared" ref="V11" si="9">P11+U11</f>
        <v>1464.87</v>
      </c>
      <c r="W11" s="90">
        <f t="shared" ref="W11" si="10">V11</f>
        <v>1464.87</v>
      </c>
      <c r="X11" s="93"/>
    </row>
    <row r="12" spans="1:24" s="64" customFormat="1" ht="15">
      <c r="A12" s="97" t="s">
        <v>253</v>
      </c>
      <c r="B12" s="97" t="s">
        <v>253</v>
      </c>
      <c r="C12" s="97" t="s">
        <v>387</v>
      </c>
      <c r="D12" s="69">
        <v>0</v>
      </c>
      <c r="E12" s="97" t="s">
        <v>50</v>
      </c>
      <c r="F12" s="98" t="s">
        <v>808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62">
        <v>45349</v>
      </c>
      <c r="M12" s="62">
        <v>45351</v>
      </c>
      <c r="N12" s="94">
        <f>1122.64/2</f>
        <v>561.32000000000005</v>
      </c>
      <c r="O12" s="94">
        <f>1122.64/2</f>
        <v>561.32000000000005</v>
      </c>
      <c r="P12" s="94">
        <f t="shared" ref="P12:P16" si="11">SUM(N12:O12)</f>
        <v>1122.6400000000001</v>
      </c>
      <c r="Q12" s="93">
        <v>0</v>
      </c>
      <c r="R12" s="63">
        <v>120</v>
      </c>
      <c r="S12" s="93">
        <v>0</v>
      </c>
      <c r="T12" s="63">
        <v>0</v>
      </c>
      <c r="U12" s="90">
        <f t="shared" ref="U12:U16" si="12">Q12*R12+S12*T12</f>
        <v>0</v>
      </c>
      <c r="V12" s="90">
        <f t="shared" ref="V12:V16" si="13">P12+U12</f>
        <v>1122.6400000000001</v>
      </c>
      <c r="W12" s="90">
        <f t="shared" ref="W12:W16" si="14">V12</f>
        <v>1122.6400000000001</v>
      </c>
      <c r="X12" s="93"/>
    </row>
    <row r="13" spans="1:24" s="64" customFormat="1" ht="15">
      <c r="A13" s="97" t="s">
        <v>253</v>
      </c>
      <c r="B13" s="97" t="s">
        <v>212</v>
      </c>
      <c r="C13" s="97" t="s">
        <v>41</v>
      </c>
      <c r="D13" s="69">
        <v>129</v>
      </c>
      <c r="E13" s="97" t="s">
        <v>809</v>
      </c>
      <c r="F13" s="98" t="s">
        <v>808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391</v>
      </c>
      <c r="L13" s="62">
        <v>45349</v>
      </c>
      <c r="M13" s="62">
        <v>45351</v>
      </c>
      <c r="N13" s="94">
        <f>1122.63/2</f>
        <v>561.31500000000005</v>
      </c>
      <c r="O13" s="94">
        <f>1122.63/2</f>
        <v>561.31500000000005</v>
      </c>
      <c r="P13" s="94">
        <f t="shared" si="11"/>
        <v>1122.6300000000001</v>
      </c>
      <c r="Q13" s="93">
        <v>3</v>
      </c>
      <c r="R13" s="63">
        <v>120</v>
      </c>
      <c r="S13" s="93">
        <v>0</v>
      </c>
      <c r="T13" s="63">
        <v>0</v>
      </c>
      <c r="U13" s="90">
        <f t="shared" si="12"/>
        <v>360</v>
      </c>
      <c r="V13" s="90">
        <f t="shared" si="13"/>
        <v>1482.63</v>
      </c>
      <c r="W13" s="90">
        <f t="shared" si="14"/>
        <v>1482.63</v>
      </c>
      <c r="X13" s="93"/>
    </row>
    <row r="14" spans="1:24" s="64" customFormat="1" ht="15">
      <c r="A14" s="97" t="s">
        <v>253</v>
      </c>
      <c r="B14" s="97" t="s">
        <v>212</v>
      </c>
      <c r="C14" s="97" t="s">
        <v>620</v>
      </c>
      <c r="D14" s="69">
        <v>365</v>
      </c>
      <c r="E14" s="97" t="s">
        <v>34</v>
      </c>
      <c r="F14" s="98" t="s">
        <v>808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62">
        <v>45349</v>
      </c>
      <c r="M14" s="62">
        <v>45351</v>
      </c>
      <c r="N14" s="94">
        <f>1122.64/2</f>
        <v>561.32000000000005</v>
      </c>
      <c r="O14" s="94">
        <f>1122.64/2</f>
        <v>561.32000000000005</v>
      </c>
      <c r="P14" s="94">
        <f t="shared" si="11"/>
        <v>1122.6400000000001</v>
      </c>
      <c r="Q14" s="93">
        <v>3</v>
      </c>
      <c r="R14" s="63">
        <v>120</v>
      </c>
      <c r="S14" s="93">
        <v>0</v>
      </c>
      <c r="T14" s="63">
        <v>0</v>
      </c>
      <c r="U14" s="90">
        <f t="shared" si="12"/>
        <v>360</v>
      </c>
      <c r="V14" s="90">
        <f t="shared" si="13"/>
        <v>1482.64</v>
      </c>
      <c r="W14" s="90">
        <f t="shared" si="14"/>
        <v>1482.64</v>
      </c>
      <c r="X14" s="93"/>
    </row>
    <row r="15" spans="1:24" s="64" customFormat="1" ht="15">
      <c r="A15" s="97" t="s">
        <v>253</v>
      </c>
      <c r="B15" s="97" t="s">
        <v>212</v>
      </c>
      <c r="C15" s="97" t="s">
        <v>270</v>
      </c>
      <c r="D15" s="69" t="s">
        <v>168</v>
      </c>
      <c r="E15" s="97" t="s">
        <v>599</v>
      </c>
      <c r="F15" s="98" t="s">
        <v>808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62">
        <v>45349</v>
      </c>
      <c r="M15" s="62">
        <v>45351</v>
      </c>
      <c r="N15" s="94">
        <f>1122.64/2</f>
        <v>561.32000000000005</v>
      </c>
      <c r="O15" s="94">
        <f>1122.64/2</f>
        <v>561.32000000000005</v>
      </c>
      <c r="P15" s="94">
        <f t="shared" si="11"/>
        <v>1122.6400000000001</v>
      </c>
      <c r="Q15" s="93">
        <v>3</v>
      </c>
      <c r="R15" s="63">
        <v>120</v>
      </c>
      <c r="S15" s="93">
        <v>0</v>
      </c>
      <c r="T15" s="63">
        <v>0</v>
      </c>
      <c r="U15" s="90">
        <f t="shared" si="12"/>
        <v>360</v>
      </c>
      <c r="V15" s="90">
        <f t="shared" si="13"/>
        <v>1482.64</v>
      </c>
      <c r="W15" s="90">
        <f t="shared" si="14"/>
        <v>1482.64</v>
      </c>
      <c r="X15" s="93"/>
    </row>
    <row r="16" spans="1:24" s="64" customFormat="1" ht="15">
      <c r="A16" s="97" t="s">
        <v>253</v>
      </c>
      <c r="B16" s="97" t="s">
        <v>322</v>
      </c>
      <c r="C16" s="97" t="s">
        <v>327</v>
      </c>
      <c r="D16" s="69">
        <v>87</v>
      </c>
      <c r="E16" s="97" t="s">
        <v>329</v>
      </c>
      <c r="F16" s="98" t="s">
        <v>808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62">
        <v>45349</v>
      </c>
      <c r="M16" s="62">
        <v>45351</v>
      </c>
      <c r="N16" s="94">
        <f>2726.78/2</f>
        <v>1363.39</v>
      </c>
      <c r="O16" s="94">
        <f>2726.78/2</f>
        <v>1363.39</v>
      </c>
      <c r="P16" s="94">
        <f t="shared" si="11"/>
        <v>2726.78</v>
      </c>
      <c r="Q16" s="93">
        <v>3</v>
      </c>
      <c r="R16" s="63">
        <v>120</v>
      </c>
      <c r="S16" s="93">
        <v>0</v>
      </c>
      <c r="T16" s="63">
        <v>0</v>
      </c>
      <c r="U16" s="90">
        <f t="shared" si="12"/>
        <v>360</v>
      </c>
      <c r="V16" s="90">
        <f t="shared" si="13"/>
        <v>3086.78</v>
      </c>
      <c r="W16" s="90">
        <f t="shared" si="14"/>
        <v>3086.78</v>
      </c>
      <c r="X16" s="93"/>
    </row>
    <row r="17" spans="1:24" s="64" customFormat="1" ht="15">
      <c r="A17" s="97" t="s">
        <v>253</v>
      </c>
      <c r="B17" s="97" t="s">
        <v>253</v>
      </c>
      <c r="C17" s="97" t="s">
        <v>675</v>
      </c>
      <c r="D17" s="69">
        <v>383</v>
      </c>
      <c r="E17" s="97" t="s">
        <v>698</v>
      </c>
      <c r="F17" s="98" t="s">
        <v>810</v>
      </c>
      <c r="G17" s="97" t="s">
        <v>36</v>
      </c>
      <c r="H17" s="97" t="s">
        <v>37</v>
      </c>
      <c r="I17" s="97" t="s">
        <v>38</v>
      </c>
      <c r="J17" s="97" t="s">
        <v>62</v>
      </c>
      <c r="K17" s="97" t="s">
        <v>414</v>
      </c>
      <c r="L17" s="62">
        <v>45342</v>
      </c>
      <c r="M17" s="62">
        <v>45343</v>
      </c>
      <c r="N17" s="94">
        <f>2941.87/2</f>
        <v>1470.9349999999999</v>
      </c>
      <c r="O17" s="94">
        <f>2941.87/2</f>
        <v>1470.9349999999999</v>
      </c>
      <c r="P17" s="94">
        <f t="shared" ref="P17" si="15">SUM(N17:O17)</f>
        <v>2941.87</v>
      </c>
      <c r="Q17" s="93">
        <v>2</v>
      </c>
      <c r="R17" s="63">
        <v>120</v>
      </c>
      <c r="S17" s="93">
        <v>0</v>
      </c>
      <c r="T17" s="63">
        <v>0</v>
      </c>
      <c r="U17" s="90">
        <f t="shared" ref="U17" si="16">Q17*R17+S17*T17</f>
        <v>240</v>
      </c>
      <c r="V17" s="90">
        <f t="shared" ref="V17" si="17">P17+U17</f>
        <v>3181.87</v>
      </c>
      <c r="W17" s="90">
        <f t="shared" ref="W17" si="18">V17</f>
        <v>3181.87</v>
      </c>
      <c r="X17" s="93"/>
    </row>
    <row r="18" spans="1:24" s="64" customFormat="1" ht="15">
      <c r="A18" s="97" t="s">
        <v>253</v>
      </c>
      <c r="B18" s="97" t="s">
        <v>288</v>
      </c>
      <c r="C18" s="97" t="s">
        <v>237</v>
      </c>
      <c r="D18" s="69">
        <v>82</v>
      </c>
      <c r="E18" s="97" t="s">
        <v>84</v>
      </c>
      <c r="F18" s="98" t="s">
        <v>810</v>
      </c>
      <c r="G18" s="97" t="s">
        <v>36</v>
      </c>
      <c r="H18" s="97" t="s">
        <v>37</v>
      </c>
      <c r="I18" s="97" t="s">
        <v>38</v>
      </c>
      <c r="J18" s="97" t="s">
        <v>62</v>
      </c>
      <c r="K18" s="97" t="s">
        <v>414</v>
      </c>
      <c r="L18" s="62">
        <v>45342</v>
      </c>
      <c r="M18" s="62">
        <v>45343</v>
      </c>
      <c r="N18" s="94">
        <f>2941.87/2</f>
        <v>1470.9349999999999</v>
      </c>
      <c r="O18" s="94">
        <f>2941.87/2</f>
        <v>1470.9349999999999</v>
      </c>
      <c r="P18" s="94">
        <f t="shared" ref="P18" si="19">SUM(N18:O18)</f>
        <v>2941.87</v>
      </c>
      <c r="Q18" s="93">
        <v>2</v>
      </c>
      <c r="R18" s="63">
        <v>120</v>
      </c>
      <c r="S18" s="93">
        <v>0</v>
      </c>
      <c r="T18" s="63">
        <v>0</v>
      </c>
      <c r="U18" s="90">
        <f t="shared" ref="U18" si="20">Q18*R18+S18*T18</f>
        <v>240</v>
      </c>
      <c r="V18" s="90">
        <f t="shared" ref="V18" si="21">P18+U18</f>
        <v>3181.87</v>
      </c>
      <c r="W18" s="90">
        <f t="shared" ref="W18" si="22">V18</f>
        <v>3181.87</v>
      </c>
      <c r="X18" s="93"/>
    </row>
    <row r="19" spans="1:24" s="64" customFormat="1" ht="15">
      <c r="A19" s="97" t="s">
        <v>231</v>
      </c>
      <c r="B19" s="97" t="s">
        <v>215</v>
      </c>
      <c r="C19" s="97" t="s">
        <v>746</v>
      </c>
      <c r="D19" s="69">
        <v>386</v>
      </c>
      <c r="E19" s="97" t="s">
        <v>218</v>
      </c>
      <c r="F19" s="98" t="s">
        <v>811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62">
        <v>45349</v>
      </c>
      <c r="M19" s="62">
        <v>45350</v>
      </c>
      <c r="N19" s="94">
        <f>3223.89/2</f>
        <v>1611.9449999999999</v>
      </c>
      <c r="O19" s="94">
        <f>3223.89/2</f>
        <v>1611.9449999999999</v>
      </c>
      <c r="P19" s="94">
        <f t="shared" ref="P19" si="23">SUM(N19:O19)</f>
        <v>3223.89</v>
      </c>
      <c r="Q19" s="93">
        <v>2</v>
      </c>
      <c r="R19" s="63">
        <v>120</v>
      </c>
      <c r="S19" s="93">
        <v>0</v>
      </c>
      <c r="T19" s="63">
        <v>0</v>
      </c>
      <c r="U19" s="90">
        <f t="shared" ref="U19" si="24">Q19*R19+S19*T19</f>
        <v>240</v>
      </c>
      <c r="V19" s="90">
        <f t="shared" ref="V19:V20" si="25">P19+U19</f>
        <v>3463.89</v>
      </c>
      <c r="W19" s="90">
        <f t="shared" ref="W19:W20" si="26">V19</f>
        <v>3463.89</v>
      </c>
      <c r="X19" s="93"/>
    </row>
    <row r="20" spans="1:24" ht="15">
      <c r="A20" s="180" t="s">
        <v>231</v>
      </c>
      <c r="B20" s="180" t="s">
        <v>231</v>
      </c>
      <c r="C20" s="182" t="s">
        <v>704</v>
      </c>
      <c r="D20" s="167">
        <v>0</v>
      </c>
      <c r="E20" s="180" t="s">
        <v>562</v>
      </c>
      <c r="F20" s="171" t="s">
        <v>812</v>
      </c>
      <c r="G20" s="97" t="s">
        <v>36</v>
      </c>
      <c r="H20" s="97" t="s">
        <v>37</v>
      </c>
      <c r="I20" s="97" t="s">
        <v>38</v>
      </c>
      <c r="J20" s="97" t="s">
        <v>127</v>
      </c>
      <c r="K20" s="97" t="s">
        <v>63</v>
      </c>
      <c r="L20" s="66">
        <v>45347</v>
      </c>
      <c r="M20" s="66">
        <v>45349</v>
      </c>
      <c r="N20" s="163">
        <f>(1185.19+2838.3)/3</f>
        <v>1341.1633333333334</v>
      </c>
      <c r="O20" s="163">
        <f>(1185.19+2838.3)/3</f>
        <v>1341.1633333333334</v>
      </c>
      <c r="P20" s="163">
        <f>SUM(N20:O22)</f>
        <v>2682.3266666666668</v>
      </c>
      <c r="Q20" s="174">
        <v>0</v>
      </c>
      <c r="R20" s="163">
        <v>0</v>
      </c>
      <c r="S20" s="174">
        <v>0</v>
      </c>
      <c r="T20" s="163">
        <v>0</v>
      </c>
      <c r="U20" s="174">
        <v>0</v>
      </c>
      <c r="V20" s="158">
        <f t="shared" si="25"/>
        <v>2682.3266666666668</v>
      </c>
      <c r="W20" s="158">
        <f t="shared" si="26"/>
        <v>2682.3266666666668</v>
      </c>
      <c r="X20" s="157"/>
    </row>
    <row r="21" spans="1:24" ht="15">
      <c r="A21" s="183"/>
      <c r="B21" s="183"/>
      <c r="C21" s="182"/>
      <c r="D21" s="168"/>
      <c r="E21" s="183"/>
      <c r="F21" s="172"/>
      <c r="G21" s="97" t="s">
        <v>36</v>
      </c>
      <c r="H21" s="97" t="s">
        <v>127</v>
      </c>
      <c r="I21" s="97" t="s">
        <v>63</v>
      </c>
      <c r="J21" s="97" t="s">
        <v>39</v>
      </c>
      <c r="K21" s="97" t="s">
        <v>40</v>
      </c>
      <c r="L21" s="66">
        <v>45349</v>
      </c>
      <c r="M21" s="66">
        <v>45350</v>
      </c>
      <c r="N21" s="170"/>
      <c r="O21" s="170"/>
      <c r="P21" s="170"/>
      <c r="Q21" s="174"/>
      <c r="R21" s="170"/>
      <c r="S21" s="174"/>
      <c r="T21" s="170"/>
      <c r="U21" s="174"/>
      <c r="V21" s="175"/>
      <c r="W21" s="175"/>
      <c r="X21" s="157"/>
    </row>
    <row r="22" spans="1:24" ht="15">
      <c r="A22" s="181"/>
      <c r="B22" s="181"/>
      <c r="C22" s="182"/>
      <c r="D22" s="169"/>
      <c r="E22" s="181"/>
      <c r="F22" s="173"/>
      <c r="G22" s="97" t="s">
        <v>36</v>
      </c>
      <c r="H22" s="97" t="s">
        <v>39</v>
      </c>
      <c r="I22" s="97" t="s">
        <v>40</v>
      </c>
      <c r="J22" s="97" t="s">
        <v>37</v>
      </c>
      <c r="K22" s="97" t="s">
        <v>38</v>
      </c>
      <c r="L22" s="66">
        <v>45350</v>
      </c>
      <c r="M22" s="66">
        <v>45350</v>
      </c>
      <c r="N22" s="164"/>
      <c r="O22" s="164"/>
      <c r="P22" s="164"/>
      <c r="Q22" s="174"/>
      <c r="R22" s="164"/>
      <c r="S22" s="174"/>
      <c r="T22" s="164"/>
      <c r="U22" s="174"/>
      <c r="V22" s="159"/>
      <c r="W22" s="159"/>
      <c r="X22" s="157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11" sqref="D11:E11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253</v>
      </c>
      <c r="B5" s="97" t="s">
        <v>253</v>
      </c>
      <c r="C5" s="97" t="s">
        <v>387</v>
      </c>
      <c r="D5" s="69">
        <v>0</v>
      </c>
      <c r="E5" s="97" t="s">
        <v>50</v>
      </c>
      <c r="F5" s="98" t="s">
        <v>813</v>
      </c>
      <c r="G5" s="97" t="s">
        <v>36</v>
      </c>
      <c r="H5" s="97" t="s">
        <v>37</v>
      </c>
      <c r="I5" s="97" t="s">
        <v>38</v>
      </c>
      <c r="J5" s="97" t="s">
        <v>339</v>
      </c>
      <c r="K5" s="97" t="s">
        <v>340</v>
      </c>
      <c r="L5" s="62">
        <v>45362</v>
      </c>
      <c r="M5" s="62">
        <v>45364</v>
      </c>
      <c r="N5" s="94">
        <f t="shared" ref="N5:O7" si="0">3822.16/2</f>
        <v>1911.08</v>
      </c>
      <c r="O5" s="94">
        <f t="shared" si="0"/>
        <v>1911.08</v>
      </c>
      <c r="P5" s="94">
        <f t="shared" ref="P5:P16" si="1">SUM(N5:O5)</f>
        <v>3822.16</v>
      </c>
      <c r="Q5" s="93">
        <v>0</v>
      </c>
      <c r="R5" s="63">
        <v>120</v>
      </c>
      <c r="S5" s="93">
        <v>0</v>
      </c>
      <c r="T5" s="63">
        <v>0</v>
      </c>
      <c r="U5" s="90">
        <f t="shared" ref="U5:U16" si="2">Q5*R5+S5*T5</f>
        <v>0</v>
      </c>
      <c r="V5" s="90">
        <f t="shared" ref="V5:V16" si="3">P5+U5</f>
        <v>3822.16</v>
      </c>
      <c r="W5" s="90">
        <f t="shared" ref="W5:W16" si="4">V5</f>
        <v>3822.16</v>
      </c>
      <c r="X5" s="93"/>
    </row>
    <row r="6" spans="1:24" s="64" customFormat="1" ht="15">
      <c r="A6" s="97" t="s">
        <v>253</v>
      </c>
      <c r="B6" s="97" t="s">
        <v>259</v>
      </c>
      <c r="C6" s="97" t="s">
        <v>802</v>
      </c>
      <c r="D6" s="69">
        <v>404</v>
      </c>
      <c r="E6" s="97" t="s">
        <v>803</v>
      </c>
      <c r="F6" s="98" t="s">
        <v>813</v>
      </c>
      <c r="G6" s="97" t="s">
        <v>36</v>
      </c>
      <c r="H6" s="97" t="s">
        <v>37</v>
      </c>
      <c r="I6" s="97" t="s">
        <v>38</v>
      </c>
      <c r="J6" s="97" t="s">
        <v>339</v>
      </c>
      <c r="K6" s="97" t="s">
        <v>340</v>
      </c>
      <c r="L6" s="62">
        <v>45362</v>
      </c>
      <c r="M6" s="62">
        <v>45364</v>
      </c>
      <c r="N6" s="94">
        <f t="shared" si="0"/>
        <v>1911.08</v>
      </c>
      <c r="O6" s="94">
        <f t="shared" si="0"/>
        <v>1911.08</v>
      </c>
      <c r="P6" s="94">
        <f t="shared" si="1"/>
        <v>3822.16</v>
      </c>
      <c r="Q6" s="93">
        <v>3</v>
      </c>
      <c r="R6" s="63">
        <v>120</v>
      </c>
      <c r="S6" s="93">
        <v>0</v>
      </c>
      <c r="T6" s="63">
        <v>0</v>
      </c>
      <c r="U6" s="90">
        <f t="shared" si="2"/>
        <v>360</v>
      </c>
      <c r="V6" s="90">
        <f t="shared" si="3"/>
        <v>4182.16</v>
      </c>
      <c r="W6" s="90">
        <f t="shared" si="4"/>
        <v>4182.16</v>
      </c>
      <c r="X6" s="93"/>
    </row>
    <row r="7" spans="1:24" s="64" customFormat="1" ht="15">
      <c r="A7" s="97" t="s">
        <v>253</v>
      </c>
      <c r="B7" s="97" t="s">
        <v>253</v>
      </c>
      <c r="C7" s="97" t="s">
        <v>675</v>
      </c>
      <c r="D7" s="69">
        <v>383</v>
      </c>
      <c r="E7" s="97" t="s">
        <v>698</v>
      </c>
      <c r="F7" s="98" t="s">
        <v>813</v>
      </c>
      <c r="G7" s="97" t="s">
        <v>36</v>
      </c>
      <c r="H7" s="97" t="s">
        <v>37</v>
      </c>
      <c r="I7" s="97" t="s">
        <v>38</v>
      </c>
      <c r="J7" s="97" t="s">
        <v>339</v>
      </c>
      <c r="K7" s="97" t="s">
        <v>340</v>
      </c>
      <c r="L7" s="62">
        <v>45362</v>
      </c>
      <c r="M7" s="62">
        <v>45364</v>
      </c>
      <c r="N7" s="94">
        <f t="shared" si="0"/>
        <v>1911.08</v>
      </c>
      <c r="O7" s="94">
        <f t="shared" si="0"/>
        <v>1911.08</v>
      </c>
      <c r="P7" s="94">
        <f t="shared" si="1"/>
        <v>3822.16</v>
      </c>
      <c r="Q7" s="93">
        <v>3</v>
      </c>
      <c r="R7" s="63">
        <v>120</v>
      </c>
      <c r="S7" s="93">
        <v>0</v>
      </c>
      <c r="T7" s="63">
        <v>0</v>
      </c>
      <c r="U7" s="90">
        <f t="shared" si="2"/>
        <v>360</v>
      </c>
      <c r="V7" s="90">
        <f t="shared" si="3"/>
        <v>4182.16</v>
      </c>
      <c r="W7" s="90">
        <f t="shared" si="4"/>
        <v>4182.16</v>
      </c>
      <c r="X7" s="93"/>
    </row>
    <row r="8" spans="1:24" s="64" customFormat="1" ht="15">
      <c r="A8" s="97" t="s">
        <v>231</v>
      </c>
      <c r="B8" s="97" t="s">
        <v>221</v>
      </c>
      <c r="C8" s="97" t="s">
        <v>54</v>
      </c>
      <c r="D8" s="69">
        <v>56</v>
      </c>
      <c r="E8" s="97" t="s">
        <v>610</v>
      </c>
      <c r="F8" s="98" t="s">
        <v>814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62">
        <v>45357</v>
      </c>
      <c r="M8" s="62">
        <v>45359</v>
      </c>
      <c r="N8" s="94">
        <f>1732.84/2</f>
        <v>866.42</v>
      </c>
      <c r="O8" s="94">
        <f>1732.84/2</f>
        <v>866.42</v>
      </c>
      <c r="P8" s="94">
        <f t="shared" si="1"/>
        <v>1732.84</v>
      </c>
      <c r="Q8" s="93">
        <v>3</v>
      </c>
      <c r="R8" s="63">
        <v>120</v>
      </c>
      <c r="S8" s="93">
        <v>0</v>
      </c>
      <c r="T8" s="63">
        <v>0</v>
      </c>
      <c r="U8" s="90">
        <f t="shared" si="2"/>
        <v>360</v>
      </c>
      <c r="V8" s="90">
        <f t="shared" si="3"/>
        <v>2092.84</v>
      </c>
      <c r="W8" s="90">
        <f t="shared" si="4"/>
        <v>2092.84</v>
      </c>
      <c r="X8" s="93"/>
    </row>
    <row r="9" spans="1:24" s="64" customFormat="1" ht="15">
      <c r="A9" s="97" t="s">
        <v>231</v>
      </c>
      <c r="B9" s="97" t="s">
        <v>231</v>
      </c>
      <c r="C9" s="97" t="s">
        <v>704</v>
      </c>
      <c r="D9" s="69">
        <v>0</v>
      </c>
      <c r="E9" s="97" t="s">
        <v>562</v>
      </c>
      <c r="F9" s="98" t="s">
        <v>814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62">
        <v>45357</v>
      </c>
      <c r="M9" s="62">
        <v>45359</v>
      </c>
      <c r="N9" s="94">
        <f>1529.38/2</f>
        <v>764.69</v>
      </c>
      <c r="O9" s="94">
        <f>1529.38/2</f>
        <v>764.69</v>
      </c>
      <c r="P9" s="94">
        <f t="shared" si="1"/>
        <v>1529.38</v>
      </c>
      <c r="Q9" s="93">
        <v>0</v>
      </c>
      <c r="R9" s="63">
        <v>120</v>
      </c>
      <c r="S9" s="93">
        <v>0</v>
      </c>
      <c r="T9" s="63">
        <v>0</v>
      </c>
      <c r="U9" s="90">
        <f t="shared" si="2"/>
        <v>0</v>
      </c>
      <c r="V9" s="90">
        <f t="shared" si="3"/>
        <v>1529.38</v>
      </c>
      <c r="W9" s="90">
        <f t="shared" si="4"/>
        <v>1529.38</v>
      </c>
      <c r="X9" s="93"/>
    </row>
    <row r="10" spans="1:24" s="64" customFormat="1" ht="15">
      <c r="A10" s="97" t="s">
        <v>231</v>
      </c>
      <c r="B10" s="97" t="s">
        <v>366</v>
      </c>
      <c r="C10" s="97" t="s">
        <v>789</v>
      </c>
      <c r="D10" s="69">
        <v>393</v>
      </c>
      <c r="E10" s="98" t="s">
        <v>790</v>
      </c>
      <c r="F10" s="98" t="s">
        <v>815</v>
      </c>
      <c r="G10" s="97" t="s">
        <v>36</v>
      </c>
      <c r="H10" s="97" t="s">
        <v>37</v>
      </c>
      <c r="I10" s="97" t="s">
        <v>38</v>
      </c>
      <c r="J10" s="97" t="s">
        <v>339</v>
      </c>
      <c r="K10" s="97" t="s">
        <v>340</v>
      </c>
      <c r="L10" s="62">
        <v>45363</v>
      </c>
      <c r="M10" s="62">
        <v>45366</v>
      </c>
      <c r="N10" s="94">
        <f>2729.51/2</f>
        <v>1364.7550000000001</v>
      </c>
      <c r="O10" s="94">
        <f>2729.51/2</f>
        <v>1364.7550000000001</v>
      </c>
      <c r="P10" s="94">
        <f t="shared" si="1"/>
        <v>2729.51</v>
      </c>
      <c r="Q10" s="93">
        <v>4</v>
      </c>
      <c r="R10" s="63">
        <v>120</v>
      </c>
      <c r="S10" s="93">
        <v>0</v>
      </c>
      <c r="T10" s="63">
        <v>0</v>
      </c>
      <c r="U10" s="90">
        <f t="shared" si="2"/>
        <v>480</v>
      </c>
      <c r="V10" s="90">
        <f t="shared" si="3"/>
        <v>3209.51</v>
      </c>
      <c r="W10" s="90">
        <f t="shared" si="4"/>
        <v>3209.51</v>
      </c>
      <c r="X10" s="93"/>
    </row>
    <row r="11" spans="1:24" s="64" customFormat="1" ht="15">
      <c r="A11" s="97" t="s">
        <v>231</v>
      </c>
      <c r="B11" s="97" t="s">
        <v>764</v>
      </c>
      <c r="C11" s="97" t="s">
        <v>731</v>
      </c>
      <c r="D11" s="69">
        <v>390</v>
      </c>
      <c r="E11" s="97" t="s">
        <v>765</v>
      </c>
      <c r="F11" s="98" t="s">
        <v>815</v>
      </c>
      <c r="G11" s="97" t="s">
        <v>36</v>
      </c>
      <c r="H11" s="97" t="s">
        <v>37</v>
      </c>
      <c r="I11" s="97" t="s">
        <v>38</v>
      </c>
      <c r="J11" s="97" t="s">
        <v>339</v>
      </c>
      <c r="K11" s="97" t="s">
        <v>340</v>
      </c>
      <c r="L11" s="62">
        <v>45363</v>
      </c>
      <c r="M11" s="62">
        <v>45366</v>
      </c>
      <c r="N11" s="94">
        <f>2729.51/2</f>
        <v>1364.7550000000001</v>
      </c>
      <c r="O11" s="94">
        <f>2729.51/2</f>
        <v>1364.7550000000001</v>
      </c>
      <c r="P11" s="94">
        <f t="shared" si="1"/>
        <v>2729.51</v>
      </c>
      <c r="Q11" s="93">
        <v>4</v>
      </c>
      <c r="R11" s="63">
        <v>120</v>
      </c>
      <c r="S11" s="93">
        <v>0</v>
      </c>
      <c r="T11" s="63">
        <v>0</v>
      </c>
      <c r="U11" s="90">
        <f t="shared" si="2"/>
        <v>480</v>
      </c>
      <c r="V11" s="90">
        <f t="shared" si="3"/>
        <v>3209.51</v>
      </c>
      <c r="W11" s="90">
        <f t="shared" si="4"/>
        <v>3209.51</v>
      </c>
      <c r="X11" s="93"/>
    </row>
    <row r="12" spans="1:24" s="64" customFormat="1" ht="15">
      <c r="A12" s="97" t="s">
        <v>253</v>
      </c>
      <c r="B12" s="97" t="s">
        <v>322</v>
      </c>
      <c r="C12" s="97" t="s">
        <v>323</v>
      </c>
      <c r="D12" s="69">
        <v>204</v>
      </c>
      <c r="E12" s="97" t="s">
        <v>652</v>
      </c>
      <c r="F12" s="98" t="s">
        <v>816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62">
        <v>45370</v>
      </c>
      <c r="M12" s="62">
        <v>45372</v>
      </c>
      <c r="N12" s="94">
        <f>2348.22/2</f>
        <v>1174.1099999999999</v>
      </c>
      <c r="O12" s="94">
        <f>2348.22/2</f>
        <v>1174.1099999999999</v>
      </c>
      <c r="P12" s="94">
        <f t="shared" si="1"/>
        <v>2348.2199999999998</v>
      </c>
      <c r="Q12" s="93">
        <v>3</v>
      </c>
      <c r="R12" s="63">
        <v>120</v>
      </c>
      <c r="S12" s="93">
        <v>0</v>
      </c>
      <c r="T12" s="63">
        <v>0</v>
      </c>
      <c r="U12" s="90">
        <f t="shared" si="2"/>
        <v>360</v>
      </c>
      <c r="V12" s="90">
        <f t="shared" si="3"/>
        <v>2708.22</v>
      </c>
      <c r="W12" s="90">
        <f t="shared" si="4"/>
        <v>2708.22</v>
      </c>
      <c r="X12" s="93"/>
    </row>
    <row r="13" spans="1:24" s="64" customFormat="1" ht="15">
      <c r="A13" s="97" t="s">
        <v>371</v>
      </c>
      <c r="B13" s="97" t="s">
        <v>273</v>
      </c>
      <c r="C13" s="97" t="s">
        <v>282</v>
      </c>
      <c r="D13" s="69">
        <v>236</v>
      </c>
      <c r="E13" s="97" t="s">
        <v>203</v>
      </c>
      <c r="F13" s="98" t="s">
        <v>817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391</v>
      </c>
      <c r="L13" s="62">
        <v>45371</v>
      </c>
      <c r="M13" s="62">
        <v>45372</v>
      </c>
      <c r="N13" s="94">
        <f>1490.09/2</f>
        <v>745.04499999999996</v>
      </c>
      <c r="O13" s="94">
        <f>1490.09/2</f>
        <v>745.04499999999996</v>
      </c>
      <c r="P13" s="94">
        <f t="shared" si="1"/>
        <v>1490.09</v>
      </c>
      <c r="Q13" s="93">
        <v>2</v>
      </c>
      <c r="R13" s="63">
        <v>120</v>
      </c>
      <c r="S13" s="93">
        <v>0</v>
      </c>
      <c r="T13" s="63">
        <v>0</v>
      </c>
      <c r="U13" s="90">
        <f t="shared" si="2"/>
        <v>240</v>
      </c>
      <c r="V13" s="90">
        <f t="shared" si="3"/>
        <v>1730.09</v>
      </c>
      <c r="W13" s="90">
        <f t="shared" si="4"/>
        <v>1730.09</v>
      </c>
      <c r="X13" s="93"/>
    </row>
    <row r="14" spans="1:24" s="64" customFormat="1" ht="15">
      <c r="A14" s="97" t="s">
        <v>231</v>
      </c>
      <c r="B14" s="97" t="s">
        <v>231</v>
      </c>
      <c r="C14" s="97" t="s">
        <v>704</v>
      </c>
      <c r="D14" s="69">
        <v>0</v>
      </c>
      <c r="E14" s="97" t="s">
        <v>562</v>
      </c>
      <c r="F14" s="98" t="s">
        <v>818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62">
        <v>45363</v>
      </c>
      <c r="M14" s="62">
        <v>45363</v>
      </c>
      <c r="N14" s="94">
        <f>2248.01/2</f>
        <v>1124.0050000000001</v>
      </c>
      <c r="O14" s="94">
        <f>2248.01/2</f>
        <v>1124.0050000000001</v>
      </c>
      <c r="P14" s="94">
        <f t="shared" si="1"/>
        <v>2248.0100000000002</v>
      </c>
      <c r="Q14" s="93">
        <v>0</v>
      </c>
      <c r="R14" s="63">
        <v>120</v>
      </c>
      <c r="S14" s="93">
        <v>0</v>
      </c>
      <c r="T14" s="63">
        <v>0</v>
      </c>
      <c r="U14" s="90">
        <f t="shared" si="2"/>
        <v>0</v>
      </c>
      <c r="V14" s="90">
        <f t="shared" si="3"/>
        <v>2248.0100000000002</v>
      </c>
      <c r="W14" s="90">
        <f t="shared" si="4"/>
        <v>2248.0100000000002</v>
      </c>
      <c r="X14" s="93"/>
    </row>
    <row r="15" spans="1:24" s="64" customFormat="1" ht="15">
      <c r="A15" s="97" t="s">
        <v>231</v>
      </c>
      <c r="B15" s="97" t="s">
        <v>231</v>
      </c>
      <c r="C15" s="97" t="s">
        <v>704</v>
      </c>
      <c r="D15" s="69">
        <v>0</v>
      </c>
      <c r="E15" s="97" t="s">
        <v>562</v>
      </c>
      <c r="F15" s="98" t="s">
        <v>818</v>
      </c>
      <c r="G15" s="97" t="s">
        <v>36</v>
      </c>
      <c r="H15" s="97" t="s">
        <v>37</v>
      </c>
      <c r="I15" s="97" t="s">
        <v>38</v>
      </c>
      <c r="J15" s="97" t="s">
        <v>339</v>
      </c>
      <c r="K15" s="97" t="s">
        <v>340</v>
      </c>
      <c r="L15" s="62">
        <v>45366</v>
      </c>
      <c r="M15" s="62">
        <v>45366</v>
      </c>
      <c r="N15" s="94">
        <f>1101.52/2</f>
        <v>550.76</v>
      </c>
      <c r="O15" s="94">
        <f>1101.52/2</f>
        <v>550.76</v>
      </c>
      <c r="P15" s="94">
        <f t="shared" si="1"/>
        <v>1101.52</v>
      </c>
      <c r="Q15" s="93">
        <v>0</v>
      </c>
      <c r="R15" s="63">
        <v>120</v>
      </c>
      <c r="S15" s="93">
        <v>0</v>
      </c>
      <c r="T15" s="63">
        <v>0</v>
      </c>
      <c r="U15" s="90">
        <f t="shared" si="2"/>
        <v>0</v>
      </c>
      <c r="V15" s="90">
        <f t="shared" si="3"/>
        <v>1101.52</v>
      </c>
      <c r="W15" s="90">
        <f t="shared" si="4"/>
        <v>1101.52</v>
      </c>
      <c r="X15" s="93"/>
    </row>
    <row r="16" spans="1:24" s="64" customFormat="1" ht="15">
      <c r="A16" s="97" t="s">
        <v>371</v>
      </c>
      <c r="B16" s="97" t="s">
        <v>371</v>
      </c>
      <c r="C16" s="97" t="s">
        <v>819</v>
      </c>
      <c r="D16" s="69">
        <v>0</v>
      </c>
      <c r="E16" s="97" t="s">
        <v>80</v>
      </c>
      <c r="F16" s="98" t="s">
        <v>820</v>
      </c>
      <c r="G16" s="97" t="s">
        <v>36</v>
      </c>
      <c r="H16" s="97" t="s">
        <v>116</v>
      </c>
      <c r="I16" s="97" t="s">
        <v>821</v>
      </c>
      <c r="J16" s="97" t="s">
        <v>62</v>
      </c>
      <c r="K16" s="97" t="s">
        <v>63</v>
      </c>
      <c r="L16" s="62">
        <v>45376</v>
      </c>
      <c r="M16" s="62">
        <v>46473</v>
      </c>
      <c r="N16" s="94">
        <f>2608.14/2</f>
        <v>1304.07</v>
      </c>
      <c r="O16" s="94">
        <f>2608.14/2</f>
        <v>1304.07</v>
      </c>
      <c r="P16" s="94">
        <f t="shared" si="1"/>
        <v>2608.14</v>
      </c>
      <c r="Q16" s="93">
        <v>0</v>
      </c>
      <c r="R16" s="63">
        <v>120</v>
      </c>
      <c r="S16" s="93">
        <v>0</v>
      </c>
      <c r="T16" s="63">
        <v>0</v>
      </c>
      <c r="U16" s="90">
        <f t="shared" si="2"/>
        <v>0</v>
      </c>
      <c r="V16" s="90">
        <f t="shared" si="3"/>
        <v>2608.14</v>
      </c>
      <c r="W16" s="90">
        <f t="shared" si="4"/>
        <v>2608.14</v>
      </c>
      <c r="X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tabSelected="1" workbookViewId="0">
      <selection activeCell="C22" sqref="C22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101" t="s">
        <v>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">
      <c r="A2" s="101" t="s">
        <v>2</v>
      </c>
      <c r="B2" s="101"/>
      <c r="C2" s="101" t="s">
        <v>3</v>
      </c>
      <c r="D2" s="101"/>
      <c r="E2" s="101"/>
      <c r="F2" s="101" t="s">
        <v>4</v>
      </c>
      <c r="G2" s="101"/>
      <c r="H2" s="101"/>
      <c r="I2" s="101"/>
      <c r="J2" s="101"/>
      <c r="K2" s="101"/>
      <c r="L2" s="101"/>
      <c r="M2" s="101"/>
      <c r="N2" s="101" t="s">
        <v>5</v>
      </c>
      <c r="O2" s="101"/>
      <c r="P2" s="101"/>
      <c r="Q2" s="101" t="s">
        <v>6</v>
      </c>
      <c r="R2" s="101"/>
      <c r="S2" s="101"/>
      <c r="T2" s="101"/>
      <c r="U2" s="101"/>
      <c r="V2" s="101"/>
      <c r="W2" s="101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99" t="s">
        <v>17</v>
      </c>
      <c r="K3" s="99"/>
      <c r="L3" s="100" t="s">
        <v>18</v>
      </c>
      <c r="M3" s="100" t="s">
        <v>19</v>
      </c>
      <c r="N3" s="99" t="s">
        <v>20</v>
      </c>
      <c r="O3" s="99" t="s">
        <v>21</v>
      </c>
      <c r="P3" s="99" t="s">
        <v>22</v>
      </c>
      <c r="Q3" s="99" t="s">
        <v>23</v>
      </c>
      <c r="R3" s="99"/>
      <c r="S3" s="99" t="s">
        <v>24</v>
      </c>
      <c r="T3" s="99"/>
      <c r="U3" s="100" t="s">
        <v>25</v>
      </c>
      <c r="V3" s="99" t="s">
        <v>22</v>
      </c>
      <c r="W3" s="101"/>
      <c r="X3" s="152"/>
    </row>
    <row r="4" spans="1:24" ht="15">
      <c r="A4" s="155"/>
      <c r="B4" s="155"/>
      <c r="C4" s="155"/>
      <c r="D4" s="155"/>
      <c r="E4" s="155"/>
      <c r="F4" s="155"/>
      <c r="G4" s="155"/>
      <c r="H4" s="10" t="s">
        <v>26</v>
      </c>
      <c r="I4" s="10" t="s">
        <v>27</v>
      </c>
      <c r="J4" s="10" t="s">
        <v>26</v>
      </c>
      <c r="K4" s="11" t="s">
        <v>28</v>
      </c>
      <c r="L4" s="155"/>
      <c r="M4" s="155"/>
      <c r="N4" s="156"/>
      <c r="O4" s="156"/>
      <c r="P4" s="156"/>
      <c r="Q4" s="10" t="s">
        <v>29</v>
      </c>
      <c r="R4" s="11" t="s">
        <v>30</v>
      </c>
      <c r="S4" s="10" t="s">
        <v>29</v>
      </c>
      <c r="T4" s="11" t="s">
        <v>30</v>
      </c>
      <c r="U4" s="155"/>
      <c r="V4" s="156"/>
      <c r="W4" s="154"/>
      <c r="X4" s="153"/>
    </row>
    <row r="5" spans="1:24" s="64" customFormat="1" ht="15">
      <c r="A5" s="97" t="s">
        <v>371</v>
      </c>
      <c r="B5" s="97" t="s">
        <v>240</v>
      </c>
      <c r="C5" s="97" t="s">
        <v>140</v>
      </c>
      <c r="D5" s="69">
        <v>230</v>
      </c>
      <c r="E5" s="97" t="s">
        <v>142</v>
      </c>
      <c r="F5" s="98" t="s">
        <v>822</v>
      </c>
      <c r="G5" s="97" t="s">
        <v>36</v>
      </c>
      <c r="H5" s="97" t="s">
        <v>37</v>
      </c>
      <c r="I5" s="97" t="s">
        <v>38</v>
      </c>
      <c r="J5" s="97" t="s">
        <v>464</v>
      </c>
      <c r="K5" s="97" t="s">
        <v>425</v>
      </c>
      <c r="L5" s="62">
        <v>45406</v>
      </c>
      <c r="M5" s="62">
        <v>45437</v>
      </c>
      <c r="N5" s="94">
        <f>1406.27/2</f>
        <v>703.13499999999999</v>
      </c>
      <c r="O5" s="94">
        <f>1406.27/2</f>
        <v>703.13499999999999</v>
      </c>
      <c r="P5" s="94">
        <f t="shared" ref="P5:P15" si="0">SUM(N5:O5)</f>
        <v>1406.27</v>
      </c>
      <c r="Q5" s="93">
        <v>2</v>
      </c>
      <c r="R5" s="63">
        <v>120</v>
      </c>
      <c r="S5" s="93">
        <v>0</v>
      </c>
      <c r="T5" s="63">
        <v>0</v>
      </c>
      <c r="U5" s="90">
        <f t="shared" ref="U5:U15" si="1">Q5*R5+S5*T5</f>
        <v>240</v>
      </c>
      <c r="V5" s="90">
        <f t="shared" ref="V5:V15" si="2">P5+U5</f>
        <v>1646.27</v>
      </c>
      <c r="W5" s="90">
        <f t="shared" ref="W5:W15" si="3">V5</f>
        <v>1646.27</v>
      </c>
      <c r="X5" s="93"/>
    </row>
    <row r="6" spans="1:24" s="64" customFormat="1" ht="15">
      <c r="A6" s="97" t="s">
        <v>253</v>
      </c>
      <c r="B6" s="97" t="s">
        <v>322</v>
      </c>
      <c r="C6" s="97" t="s">
        <v>760</v>
      </c>
      <c r="D6" s="69">
        <v>397</v>
      </c>
      <c r="E6" s="97" t="s">
        <v>823</v>
      </c>
      <c r="F6" s="98" t="s">
        <v>824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62">
        <v>45392</v>
      </c>
      <c r="M6" s="62">
        <v>45393</v>
      </c>
      <c r="N6" s="94">
        <f>2399.95/2</f>
        <v>1199.9749999999999</v>
      </c>
      <c r="O6" s="94">
        <f>2399.95/2</f>
        <v>1199.9749999999999</v>
      </c>
      <c r="P6" s="94">
        <f t="shared" si="0"/>
        <v>2399.9499999999998</v>
      </c>
      <c r="Q6" s="93">
        <v>2</v>
      </c>
      <c r="R6" s="63">
        <v>120</v>
      </c>
      <c r="S6" s="93">
        <v>0</v>
      </c>
      <c r="T6" s="63">
        <v>0</v>
      </c>
      <c r="U6" s="90">
        <f t="shared" si="1"/>
        <v>240</v>
      </c>
      <c r="V6" s="90">
        <f t="shared" si="2"/>
        <v>2639.95</v>
      </c>
      <c r="W6" s="90">
        <f t="shared" si="3"/>
        <v>2639.95</v>
      </c>
      <c r="X6" s="93"/>
    </row>
    <row r="7" spans="1:24" s="64" customFormat="1" ht="15">
      <c r="A7" s="97" t="s">
        <v>253</v>
      </c>
      <c r="B7" s="97" t="s">
        <v>322</v>
      </c>
      <c r="C7" s="97" t="s">
        <v>762</v>
      </c>
      <c r="D7" s="69">
        <v>324</v>
      </c>
      <c r="E7" s="97" t="s">
        <v>493</v>
      </c>
      <c r="F7" s="98" t="s">
        <v>824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62">
        <v>45392</v>
      </c>
      <c r="M7" s="62">
        <v>45393</v>
      </c>
      <c r="N7" s="94">
        <f>2399.95/2</f>
        <v>1199.9749999999999</v>
      </c>
      <c r="O7" s="94">
        <f>2399.95/2</f>
        <v>1199.9749999999999</v>
      </c>
      <c r="P7" s="94">
        <f t="shared" si="0"/>
        <v>2399.9499999999998</v>
      </c>
      <c r="Q7" s="93">
        <v>2</v>
      </c>
      <c r="R7" s="63">
        <v>120</v>
      </c>
      <c r="S7" s="93">
        <v>0</v>
      </c>
      <c r="T7" s="63">
        <v>0</v>
      </c>
      <c r="U7" s="90">
        <f t="shared" si="1"/>
        <v>240</v>
      </c>
      <c r="V7" s="90">
        <f t="shared" si="2"/>
        <v>2639.95</v>
      </c>
      <c r="W7" s="90">
        <f t="shared" si="3"/>
        <v>2639.95</v>
      </c>
      <c r="X7" s="93"/>
    </row>
    <row r="8" spans="1:24" s="64" customFormat="1" ht="15">
      <c r="A8" s="97" t="s">
        <v>253</v>
      </c>
      <c r="B8" s="97" t="s">
        <v>322</v>
      </c>
      <c r="C8" s="97" t="s">
        <v>327</v>
      </c>
      <c r="D8" s="69">
        <v>87</v>
      </c>
      <c r="E8" s="97" t="s">
        <v>329</v>
      </c>
      <c r="F8" s="98" t="s">
        <v>824</v>
      </c>
      <c r="G8" s="97" t="s">
        <v>36</v>
      </c>
      <c r="H8" s="97" t="s">
        <v>37</v>
      </c>
      <c r="I8" s="97" t="s">
        <v>38</v>
      </c>
      <c r="J8" s="97" t="s">
        <v>109</v>
      </c>
      <c r="K8" s="97" t="s">
        <v>110</v>
      </c>
      <c r="L8" s="62">
        <v>45392</v>
      </c>
      <c r="M8" s="62">
        <v>45393</v>
      </c>
      <c r="N8" s="94">
        <f>2399.95/2</f>
        <v>1199.9749999999999</v>
      </c>
      <c r="O8" s="94">
        <f>2399.95/2</f>
        <v>1199.9749999999999</v>
      </c>
      <c r="P8" s="94">
        <f t="shared" si="0"/>
        <v>2399.9499999999998</v>
      </c>
      <c r="Q8" s="93">
        <v>2</v>
      </c>
      <c r="R8" s="63">
        <v>120</v>
      </c>
      <c r="S8" s="93">
        <v>0</v>
      </c>
      <c r="T8" s="63">
        <v>0</v>
      </c>
      <c r="U8" s="90">
        <f t="shared" si="1"/>
        <v>240</v>
      </c>
      <c r="V8" s="90">
        <f t="shared" si="2"/>
        <v>2639.95</v>
      </c>
      <c r="W8" s="90">
        <f t="shared" si="3"/>
        <v>2639.95</v>
      </c>
      <c r="X8" s="93"/>
    </row>
    <row r="9" spans="1:24" s="64" customFormat="1" ht="15">
      <c r="A9" s="97" t="s">
        <v>371</v>
      </c>
      <c r="B9" s="97" t="s">
        <v>240</v>
      </c>
      <c r="C9" s="97" t="s">
        <v>448</v>
      </c>
      <c r="D9" s="69">
        <v>336</v>
      </c>
      <c r="E9" s="97" t="s">
        <v>294</v>
      </c>
      <c r="F9" s="98" t="s">
        <v>824</v>
      </c>
      <c r="G9" s="97" t="s">
        <v>36</v>
      </c>
      <c r="H9" s="97" t="s">
        <v>37</v>
      </c>
      <c r="I9" s="97" t="s">
        <v>38</v>
      </c>
      <c r="J9" s="97" t="s">
        <v>109</v>
      </c>
      <c r="K9" s="97" t="s">
        <v>110</v>
      </c>
      <c r="L9" s="62">
        <v>45392</v>
      </c>
      <c r="M9" s="62">
        <v>45393</v>
      </c>
      <c r="N9" s="94">
        <f>2399.95/2</f>
        <v>1199.9749999999999</v>
      </c>
      <c r="O9" s="94">
        <f>2399.95/2</f>
        <v>1199.9749999999999</v>
      </c>
      <c r="P9" s="94">
        <f t="shared" si="0"/>
        <v>2399.9499999999998</v>
      </c>
      <c r="Q9" s="93">
        <v>2</v>
      </c>
      <c r="R9" s="63">
        <v>120</v>
      </c>
      <c r="S9" s="93">
        <v>0</v>
      </c>
      <c r="T9" s="63">
        <v>0</v>
      </c>
      <c r="U9" s="90">
        <f t="shared" si="1"/>
        <v>240</v>
      </c>
      <c r="V9" s="90">
        <f t="shared" si="2"/>
        <v>2639.95</v>
      </c>
      <c r="W9" s="90">
        <f t="shared" si="3"/>
        <v>2639.95</v>
      </c>
      <c r="X9" s="93"/>
    </row>
    <row r="10" spans="1:24" s="64" customFormat="1" ht="30">
      <c r="A10" s="97" t="s">
        <v>231</v>
      </c>
      <c r="B10" s="97" t="s">
        <v>764</v>
      </c>
      <c r="C10" s="97" t="s">
        <v>731</v>
      </c>
      <c r="D10" s="69">
        <v>390</v>
      </c>
      <c r="E10" s="97" t="s">
        <v>765</v>
      </c>
      <c r="F10" s="98" t="s">
        <v>825</v>
      </c>
      <c r="G10" s="97" t="s">
        <v>36</v>
      </c>
      <c r="H10" s="97" t="s">
        <v>37</v>
      </c>
      <c r="I10" s="97" t="s">
        <v>38</v>
      </c>
      <c r="J10" s="97" t="s">
        <v>62</v>
      </c>
      <c r="K10" s="97" t="s">
        <v>63</v>
      </c>
      <c r="L10" s="62">
        <v>45385</v>
      </c>
      <c r="M10" s="62">
        <v>45386</v>
      </c>
      <c r="N10" s="94">
        <f>2482.92/2</f>
        <v>1241.46</v>
      </c>
      <c r="O10" s="94">
        <f>2482.92/2</f>
        <v>1241.46</v>
      </c>
      <c r="P10" s="94">
        <f t="shared" si="0"/>
        <v>2482.92</v>
      </c>
      <c r="Q10" s="93">
        <v>2</v>
      </c>
      <c r="R10" s="63">
        <v>120</v>
      </c>
      <c r="S10" s="93">
        <v>0</v>
      </c>
      <c r="T10" s="63">
        <v>0</v>
      </c>
      <c r="U10" s="90">
        <f t="shared" si="1"/>
        <v>240</v>
      </c>
      <c r="V10" s="90">
        <f t="shared" si="2"/>
        <v>2722.92</v>
      </c>
      <c r="W10" s="90">
        <f t="shared" si="3"/>
        <v>2722.92</v>
      </c>
      <c r="X10" s="93"/>
    </row>
    <row r="11" spans="1:24" s="64" customFormat="1" ht="15">
      <c r="A11" s="97" t="s">
        <v>231</v>
      </c>
      <c r="B11" s="97" t="s">
        <v>229</v>
      </c>
      <c r="C11" s="97" t="s">
        <v>729</v>
      </c>
      <c r="D11" s="69">
        <v>387</v>
      </c>
      <c r="E11" s="97" t="s">
        <v>248</v>
      </c>
      <c r="F11" s="98" t="s">
        <v>826</v>
      </c>
      <c r="G11" s="97" t="s">
        <v>36</v>
      </c>
      <c r="H11" s="97" t="s">
        <v>37</v>
      </c>
      <c r="I11" s="97" t="s">
        <v>38</v>
      </c>
      <c r="J11" s="97" t="s">
        <v>109</v>
      </c>
      <c r="K11" s="97" t="s">
        <v>110</v>
      </c>
      <c r="L11" s="62">
        <v>45404</v>
      </c>
      <c r="M11" s="62">
        <v>45406</v>
      </c>
      <c r="N11" s="94">
        <f>2248.02/2</f>
        <v>1124.01</v>
      </c>
      <c r="O11" s="94">
        <f>2248.02/2</f>
        <v>1124.01</v>
      </c>
      <c r="P11" s="94">
        <f t="shared" si="0"/>
        <v>2248.02</v>
      </c>
      <c r="Q11" s="93">
        <v>3</v>
      </c>
      <c r="R11" s="63">
        <v>120</v>
      </c>
      <c r="S11" s="93">
        <v>0</v>
      </c>
      <c r="T11" s="63">
        <v>0</v>
      </c>
      <c r="U11" s="90">
        <f t="shared" si="1"/>
        <v>360</v>
      </c>
      <c r="V11" s="90">
        <f t="shared" si="2"/>
        <v>2608.02</v>
      </c>
      <c r="W11" s="90">
        <f t="shared" si="3"/>
        <v>2608.02</v>
      </c>
      <c r="X11" s="93"/>
    </row>
    <row r="12" spans="1:24" s="64" customFormat="1" ht="45">
      <c r="A12" s="97" t="s">
        <v>231</v>
      </c>
      <c r="B12" s="97" t="s">
        <v>231</v>
      </c>
      <c r="C12" s="97" t="s">
        <v>704</v>
      </c>
      <c r="D12" s="69">
        <v>0</v>
      </c>
      <c r="E12" s="97" t="s">
        <v>562</v>
      </c>
      <c r="F12" s="98" t="s">
        <v>827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62">
        <v>45404</v>
      </c>
      <c r="M12" s="62">
        <v>45406</v>
      </c>
      <c r="N12" s="94">
        <f>2755.24/2</f>
        <v>1377.62</v>
      </c>
      <c r="O12" s="94">
        <f>2755.24/2</f>
        <v>1377.62</v>
      </c>
      <c r="P12" s="94">
        <f t="shared" si="0"/>
        <v>2755.24</v>
      </c>
      <c r="Q12" s="93">
        <v>0</v>
      </c>
      <c r="R12" s="63">
        <v>120</v>
      </c>
      <c r="S12" s="93">
        <v>0</v>
      </c>
      <c r="T12" s="63">
        <v>0</v>
      </c>
      <c r="U12" s="90">
        <f t="shared" si="1"/>
        <v>0</v>
      </c>
      <c r="V12" s="90">
        <f t="shared" si="2"/>
        <v>2755.24</v>
      </c>
      <c r="W12" s="90">
        <f t="shared" si="3"/>
        <v>2755.24</v>
      </c>
      <c r="X12" s="93"/>
    </row>
    <row r="13" spans="1:24" s="64" customFormat="1" ht="45">
      <c r="A13" s="97" t="s">
        <v>231</v>
      </c>
      <c r="B13" s="97" t="s">
        <v>231</v>
      </c>
      <c r="C13" s="97" t="s">
        <v>704</v>
      </c>
      <c r="D13" s="69">
        <v>0</v>
      </c>
      <c r="E13" s="97" t="s">
        <v>562</v>
      </c>
      <c r="F13" s="98" t="s">
        <v>827</v>
      </c>
      <c r="G13" s="97" t="s">
        <v>36</v>
      </c>
      <c r="H13" s="97" t="s">
        <v>62</v>
      </c>
      <c r="I13" s="97" t="s">
        <v>63</v>
      </c>
      <c r="J13" s="97" t="s">
        <v>39</v>
      </c>
      <c r="K13" s="97" t="s">
        <v>40</v>
      </c>
      <c r="L13" s="62">
        <v>45407</v>
      </c>
      <c r="M13" s="62">
        <v>45408</v>
      </c>
      <c r="N13" s="94">
        <f>2769.02/2</f>
        <v>1384.51</v>
      </c>
      <c r="O13" s="94">
        <f>2769.02/2</f>
        <v>1384.51</v>
      </c>
      <c r="P13" s="94">
        <f t="shared" si="0"/>
        <v>2769.02</v>
      </c>
      <c r="Q13" s="93">
        <v>0</v>
      </c>
      <c r="R13" s="63">
        <v>120</v>
      </c>
      <c r="S13" s="93">
        <v>0</v>
      </c>
      <c r="T13" s="63">
        <v>0</v>
      </c>
      <c r="U13" s="90">
        <f t="shared" si="1"/>
        <v>0</v>
      </c>
      <c r="V13" s="90">
        <f t="shared" si="2"/>
        <v>2769.02</v>
      </c>
      <c r="W13" s="90">
        <f t="shared" si="3"/>
        <v>2769.02</v>
      </c>
      <c r="X13" s="93"/>
    </row>
    <row r="14" spans="1:24" s="64" customFormat="1" ht="15">
      <c r="A14" s="97" t="s">
        <v>231</v>
      </c>
      <c r="B14" s="97" t="s">
        <v>215</v>
      </c>
      <c r="C14" s="97" t="s">
        <v>746</v>
      </c>
      <c r="D14" s="69">
        <v>386</v>
      </c>
      <c r="E14" s="97" t="s">
        <v>218</v>
      </c>
      <c r="F14" s="98" t="s">
        <v>828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62">
        <v>45405</v>
      </c>
      <c r="M14" s="62">
        <v>45406</v>
      </c>
      <c r="N14" s="94">
        <f>2562.28/2</f>
        <v>1281.1400000000001</v>
      </c>
      <c r="O14" s="94">
        <f>2562.28/2</f>
        <v>1281.1400000000001</v>
      </c>
      <c r="P14" s="94">
        <f t="shared" si="0"/>
        <v>2562.2800000000002</v>
      </c>
      <c r="Q14" s="93">
        <v>2</v>
      </c>
      <c r="R14" s="63">
        <v>120</v>
      </c>
      <c r="S14" s="93">
        <v>0</v>
      </c>
      <c r="T14" s="63">
        <v>0</v>
      </c>
      <c r="U14" s="90">
        <f t="shared" si="1"/>
        <v>240</v>
      </c>
      <c r="V14" s="90">
        <f t="shared" si="2"/>
        <v>2802.28</v>
      </c>
      <c r="W14" s="90">
        <f t="shared" si="3"/>
        <v>2802.28</v>
      </c>
      <c r="X14" s="93"/>
    </row>
    <row r="15" spans="1:24" s="64" customFormat="1" ht="15">
      <c r="A15" s="97" t="s">
        <v>231</v>
      </c>
      <c r="B15" s="97" t="s">
        <v>229</v>
      </c>
      <c r="C15" s="97" t="s">
        <v>729</v>
      </c>
      <c r="D15" s="69">
        <v>387</v>
      </c>
      <c r="E15" s="97" t="s">
        <v>248</v>
      </c>
      <c r="F15" s="98" t="s">
        <v>829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62">
        <v>45404</v>
      </c>
      <c r="M15" s="62">
        <v>45406</v>
      </c>
      <c r="N15" s="94">
        <f>2825.39/2</f>
        <v>1412.6949999999999</v>
      </c>
      <c r="O15" s="94">
        <f>2825.39/2</f>
        <v>1412.6949999999999</v>
      </c>
      <c r="P15" s="94">
        <f t="shared" si="0"/>
        <v>2825.39</v>
      </c>
      <c r="Q15" s="93">
        <v>3</v>
      </c>
      <c r="R15" s="63">
        <v>120</v>
      </c>
      <c r="S15" s="93">
        <v>0</v>
      </c>
      <c r="T15" s="63">
        <v>0</v>
      </c>
      <c r="U15" s="90">
        <f t="shared" si="1"/>
        <v>360</v>
      </c>
      <c r="V15" s="90">
        <f t="shared" si="2"/>
        <v>3185.39</v>
      </c>
      <c r="W15" s="90">
        <f t="shared" si="3"/>
        <v>3185.39</v>
      </c>
      <c r="X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43160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43191</v>
      </c>
    </row>
    <row r="6" spans="1:24">
      <c r="A6" s="101" t="s">
        <v>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>
      <c r="A7" s="101" t="s">
        <v>2</v>
      </c>
      <c r="B7" s="101"/>
      <c r="C7" s="101" t="s">
        <v>3</v>
      </c>
      <c r="D7" s="101"/>
      <c r="E7" s="101"/>
      <c r="F7" s="101" t="s">
        <v>4</v>
      </c>
      <c r="G7" s="101"/>
      <c r="H7" s="101"/>
      <c r="I7" s="101"/>
      <c r="J7" s="101"/>
      <c r="K7" s="101"/>
      <c r="L7" s="101"/>
      <c r="M7" s="101"/>
      <c r="N7" s="101" t="s">
        <v>5</v>
      </c>
      <c r="O7" s="101"/>
      <c r="P7" s="101"/>
      <c r="Q7" s="101" t="s">
        <v>6</v>
      </c>
      <c r="R7" s="101"/>
      <c r="S7" s="101"/>
      <c r="T7" s="101"/>
      <c r="U7" s="101"/>
      <c r="V7" s="101"/>
      <c r="W7" s="101" t="s">
        <v>7</v>
      </c>
      <c r="X7" s="101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99" t="s">
        <v>17</v>
      </c>
      <c r="K8" s="99"/>
      <c r="L8" s="100" t="s">
        <v>18</v>
      </c>
      <c r="M8" s="100" t="s">
        <v>19</v>
      </c>
      <c r="N8" s="99" t="s">
        <v>20</v>
      </c>
      <c r="O8" s="99" t="s">
        <v>21</v>
      </c>
      <c r="P8" s="99" t="s">
        <v>22</v>
      </c>
      <c r="Q8" s="99" t="s">
        <v>23</v>
      </c>
      <c r="R8" s="99"/>
      <c r="S8" s="99" t="s">
        <v>24</v>
      </c>
      <c r="T8" s="99"/>
      <c r="U8" s="100" t="s">
        <v>25</v>
      </c>
      <c r="V8" s="99" t="s">
        <v>22</v>
      </c>
      <c r="W8" s="101"/>
      <c r="X8" s="101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99"/>
      <c r="O9" s="99"/>
      <c r="P9" s="99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99"/>
      <c r="W9" s="101"/>
      <c r="X9" s="101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Cláudio Lima</cp:lastModifiedBy>
  <cp:revision>9</cp:revision>
  <dcterms:created xsi:type="dcterms:W3CDTF">2017-08-07T12:58:20Z</dcterms:created>
  <dcterms:modified xsi:type="dcterms:W3CDTF">2025-01-22T17:57:24Z</dcterms:modified>
  <cp:category/>
  <cp:contentStatus/>
</cp:coreProperties>
</file>