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o.lima\Desktop\"/>
    </mc:Choice>
  </mc:AlternateContent>
  <xr:revisionPtr revIDLastSave="0" documentId="13_ncr:1_{ED9F84AB-6075-4C88-87F7-0605AFB54FCC}" xr6:coauthVersionLast="47" xr6:coauthVersionMax="47" xr10:uidLastSave="{00000000-0000-0000-0000-000000000000}"/>
  <bookViews>
    <workbookView xWindow="-120" yWindow="-120" windowWidth="29040" windowHeight="15840" firstSheet="75" activeTab="75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Plan2" sheetId="68" r:id="rId77"/>
    <sheet name="Plan3" sheetId="80" r:id="rId7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90" l="1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V14" i="90" l="1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<sst xmlns="http://schemas.openxmlformats.org/spreadsheetml/2006/main" count="9280" uniqueCount="813">
  <si>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</si>
  <si>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</si>
  <si>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</si>
  <si>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</si>
  <si>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</si>
  <si>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</si>
  <si>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</si>
  <si>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</si>
  <si>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</si>
  <si>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</si>
  <si>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</si>
  <si>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</si>
  <si>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</si>
  <si>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</si>
  <si>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</si>
  <si>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</si>
  <si>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</si>
  <si>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</si>
  <si>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</si>
  <si>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</si>
  <si>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</si>
  <si>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</si>
  <si>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</si>
  <si>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</si>
  <si>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</si>
  <si>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</si>
  <si>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</si>
  <si>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</si>
  <si>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</si>
  <si>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</si>
  <si>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</si>
  <si>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</si>
  <si>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</si>
  <si>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</si>
  <si>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</si>
  <si>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</si>
  <si>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</si>
  <si>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</si>
  <si>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</si>
  <si>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</si>
  <si>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</si>
  <si>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</si>
  <si>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</si>
  <si>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</si>
  <si>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</si>
  <si>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</si>
  <si>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</si>
  <si>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</si>
  <si>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</si>
  <si>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</si>
  <si>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</si>
  <si>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</si>
  <si>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</si>
  <si>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</si>
  <si>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</si>
  <si>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</si>
  <si>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</si>
  <si>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</si>
  <si>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</si>
  <si>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</si>
  <si>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</si>
  <si>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</si>
  <si>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</si>
  <si>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</si>
  <si>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</si>
  <si>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</si>
  <si>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</si>
  <si>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</si>
  <si>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</si>
  <si>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</si>
  <si>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</si>
  <si>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</si>
  <si>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</si>
  <si>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</si>
  <si>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</si>
  <si>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</si>
  <si>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</si>
  <si>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</si>
  <si>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</si>
  <si>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</si>
  <si>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</si>
  <si>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</si>
  <si>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</si>
  <si>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</si>
  <si>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</si>
  <si>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</si>
  <si>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</si>
  <si>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</si>
  <si>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</si>
  <si>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</si>
  <si>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</si>
  <si>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</si>
  <si>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</si>
  <si>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</si>
  <si>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</si>
  <si>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</si>
  <si>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</si>
  <si>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</si>
  <si>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</si>
  <si>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</si>
  <si>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</si>
  <si>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</si>
  <si>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</si>
  <si>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</si>
  <si>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</si>
  <si>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</si>
  <si>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</si>
  <si>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</si>
  <si>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</si>
  <si>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</si>
  <si>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</si>
  <si>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</si>
  <si>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</si>
  <si>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</si>
  <si>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</si>
  <si>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</si>
  <si>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</si>
  <si>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</si>
  <si>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</si>
  <si>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</si>
  <si>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</si>
  <si>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</si>
  <si>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</si>
  <si>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</si>
  <si>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</si>
  <si>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</si>
  <si>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</si>
  <si>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</si>
  <si>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</si>
  <si>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</si>
  <si>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</si>
  <si>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</si>
  <si>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</si>
  <si>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</si>
  <si>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</si>
  <si>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</si>
  <si>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</si>
  <si>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</si>
  <si>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</si>
  <si>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</si>
  <si>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</si>
  <si>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</si>
  <si>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</si>
  <si>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</si>
  <si>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</si>
  <si>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</si>
  <si>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</si>
  <si>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</si>
  <si>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</si>
  <si>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</si>
  <si>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</si>
  <si>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</si>
  <si>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</si>
  <si>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</si>
  <si>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</si>
  <si>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</si>
  <si>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</si>
  <si>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</si>
  <si>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</si>
  <si>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</si>
  <si>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</si>
  <si>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</si>
  <si>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</si>
  <si>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</si>
  <si>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</si>
  <si>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</si>
  <si>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</si>
  <si>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</si>
  <si>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</si>
  <si>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</si>
  <si>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</si>
  <si>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</si>
  <si>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</si>
  <si>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</si>
  <si>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</si>
  <si>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</si>
  <si>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</si>
  <si>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</si>
  <si>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</si>
  <si>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</si>
  <si>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</si>
  <si>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</si>
  <si>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</si>
  <si>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</si>
  <si>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</si>
  <si>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</si>
  <si>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</si>
  <si>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</si>
  <si>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</si>
  <si>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</si>
  <si>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</si>
  <si>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</si>
  <si>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</si>
  <si>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</si>
  <si>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</si>
  <si>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</si>
  <si>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</si>
  <si>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</si>
  <si>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</si>
  <si>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</si>
  <si>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</si>
  <si>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</si>
  <si>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</si>
  <si>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</si>
  <si>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</si>
  <si>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</si>
  <si>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</si>
  <si>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</si>
  <si>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</si>
  <si>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</si>
  <si>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</si>
  <si>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</si>
  <si>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</si>
  <si>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</si>
  <si>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</si>
  <si>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</si>
  <si>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</si>
  <si>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</si>
  <si>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</si>
  <si>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</si>
  <si>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</si>
  <si>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</si>
  <si>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</si>
  <si>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</si>
  <si>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</si>
  <si>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</si>
  <si>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</si>
  <si>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</si>
  <si>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</si>
  <si>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</si>
  <si>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</si>
  <si>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</si>
  <si>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</si>
  <si>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</si>
  <si>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</si>
  <si>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</si>
  <si>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</si>
  <si>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</si>
  <si>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</si>
  <si>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</si>
  <si>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</si>
  <si>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</si>
  <si>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</si>
  <si>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</si>
  <si>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</si>
  <si>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</si>
  <si>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</si>
  <si>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</si>
  <si>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</si>
  <si>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</si>
  <si>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</si>
  <si>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</si>
  <si>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</si>
  <si>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</si>
  <si>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</si>
  <si>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</si>
  <si>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</si>
  <si>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</si>
  <si>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</si>
  <si>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</si>
  <si>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</si>
  <si>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</si>
  <si>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</si>
  <si>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</si>
  <si>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</si>
  <si>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</si>
  <si>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</si>
  <si>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</si>
  <si>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</si>
  <si>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</si>
  <si>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</si>
  <si>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</si>
  <si>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</si>
  <si>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</si>
  <si>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</si>
  <si>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</si>
  <si>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</si>
  <si>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</si>
  <si>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</si>
  <si>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</si>
  <si>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</si>
  <si>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</si>
  <si>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</si>
  <si>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</si>
  <si>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</si>
  <si>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</si>
  <si>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</si>
  <si>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</si>
  <si>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</si>
  <si>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</si>
  <si>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</si>
  <si>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</si>
  <si>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</si>
  <si>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</si>
  <si>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</si>
  <si>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</si>
  <si>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</si>
  <si>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</si>
  <si>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</si>
  <si>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</si>
  <si>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</si>
  <si>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</si>
  <si>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</si>
  <si>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</si>
  <si>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</si>
  <si>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</si>
  <si>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</si>
  <si>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</si>
  <si>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</si>
  <si>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</si>
  <si>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</si>
  <si>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</si>
  <si>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</si>
  <si>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</si>
  <si>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</si>
  <si>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</si>
  <si>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</si>
  <si>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</si>
  <si>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</si>
  <si>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</si>
  <si>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</si>
  <si>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</si>
  <si>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</si>
  <si>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</si>
  <si>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</si>
  <si>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</si>
  <si>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</si>
  <si>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</si>
  <si>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</si>
  <si>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</si>
  <si>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</si>
  <si>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</si>
  <si>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</si>
  <si>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</si>
  <si>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</si>
  <si>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</si>
  <si>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</si>
  <si>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</si>
  <si>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</si>
  <si>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</si>
  <si>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</si>
  <si>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</si>
  <si>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</si>
  <si>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</si>
  <si>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</si>
  <si>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</si>
  <si>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</si>
  <si>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</si>
  <si>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</si>
  <si>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</si>
  <si>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</si>
  <si>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</si>
  <si>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</si>
  <si>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</si>
  <si>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</si>
  <si>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</si>
  <si>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</si>
  <si>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</si>
  <si>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</si>
  <si>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</si>
  <si>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</si>
  <si>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</si>
  <si>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</si>
  <si>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</si>
  <si>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</si>
  <si>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</si>
  <si>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</si>
  <si>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</si>
  <si>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</si>
  <si>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</si>
  <si>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</si>
  <si>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</si>
  <si>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</si>
  <si>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</si>
  <si>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</si>
  <si>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</si>
  <si>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</si>
  <si>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</si>
  <si>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</si>
  <si>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</si>
  <si>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</si>
  <si>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</si>
  <si>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</si>
  <si>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</si>
  <si>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</si>
  <si>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</si>
  <si>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</si>
  <si>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</si>
  <si>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</si>
  <si>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</si>
  <si>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</si>
  <si>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</si>
  <si>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</si>
  <si>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</si>
  <si>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</si>
  <si>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</si>
  <si>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</si>
  <si>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</si>
  <si>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</si>
  <si>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</si>
  <si>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</si>
  <si>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</si>
  <si>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</si>
  <si>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</si>
  <si>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</si>
  <si>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</si>
  <si>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</si>
  <si>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</si>
  <si>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</si>
  <si>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</si>
  <si>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</si>
  <si>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</si>
  <si>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</si>
  <si>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</si>
  <si>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</si>
  <si>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</si>
  <si>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</si>
  <si>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</si>
  <si>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</si>
  <si>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</si>
  <si>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</si>
  <si>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</si>
  <si>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</si>
  <si>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</si>
  <si>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</si>
  <si>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</si>
  <si>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</si>
  <si>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</si>
  <si>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</si>
  <si>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</si>
  <si>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</si>
  <si>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</si>
  <si>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</si>
  <si>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</si>
  <si>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</si>
  <si>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</si>
  <si>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</si>
  <si>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</si>
  <si>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</si>
  <si>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</si>
  <si>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</si>
  <si>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</si>
  <si>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</si>
  <si>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</si>
  <si>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</si>
  <si>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</si>
  <si>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</si>
  <si>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</si>
  <si>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</si>
  <si>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</si>
  <si>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</si>
  <si>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</si>
  <si>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</si>
  <si>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</si>
  <si>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</si>
  <si>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</si>
  <si>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</si>
  <si>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</si>
  <si>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</si>
  <si>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</si>
  <si>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</si>
  <si>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</si>
  <si>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</si>
  <si>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</si>
  <si>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</si>
  <si>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</si>
  <si>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</si>
  <si>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</si>
  <si>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</si>
  <si>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</si>
  <si>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</si>
  <si>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</si>
  <si>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</si>
  <si>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</si>
  <si>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</si>
  <si>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</si>
  <si>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</si>
  <si>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</si>
  <si>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</si>
  <si>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</si>
  <si>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</si>
  <si>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</si>
  <si>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</si>
  <si>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</si>
  <si>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</si>
  <si>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</si>
  <si>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</si>
  <si>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</si>
  <si>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</si>
  <si>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</si>
  <si>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</si>
  <si>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</si>
  <si>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</si>
  <si>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</si>
  <si>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</si>
  <si>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</si>
  <si>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</si>
  <si>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</si>
  <si>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</si>
  <si>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</si>
  <si>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</si>
  <si>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</si>
  <si>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</si>
  <si>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</si>
  <si>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</si>
  <si>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</si>
  <si>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</si>
  <si>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</si>
  <si>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</si>
  <si>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</si>
  <si>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</si>
  <si>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</si>
  <si>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</si>
  <si>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</si>
  <si>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</si>
  <si>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</si>
  <si>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</si>
  <si>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</si>
  <si>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</si>
  <si>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</si>
  <si>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</si>
  <si>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</si>
  <si>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</si>
  <si>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</si>
  <si>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</si>
  <si>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</si>
  <si>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</si>
  <si>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</si>
  <si>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</si>
  <si>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</si>
  <si>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</si>
  <si>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</si>
  <si>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</si>
  <si>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</si>
  <si>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</si>
  <si>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</si>
  <si>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</si>
  <si>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</si>
  <si>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</si>
  <si>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</si>
  <si>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</si>
  <si>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</si>
  <si>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</si>
  <si>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</si>
  <si>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</si>
  <si>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</si>
  <si>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</si>
  <si>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</si>
  <si>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</si>
  <si>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</si>
  <si>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</si>
  <si>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</si>
  <si>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</si>
  <si>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</si>
  <si>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</si>
  <si>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</si>
  <si>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</si>
  <si>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</si>
  <si>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</si>
  <si>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</si>
  <si>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</si>
  <si>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</si>
  <si>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</si>
  <si>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</si>
  <si>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</si>
  <si>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</si>
  <si>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</si>
  <si>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</si>
  <si>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</si>
  <si>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</si>
  <si>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</si>
  <si>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</si>
  <si>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</si>
  <si>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</si>
  <si>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</si>
  <si>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</si>
  <si>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</si>
  <si>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</si>
  <si>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</si>
  <si>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</si>
  <si>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</si>
  <si>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</si>
  <si>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</si>
  <si>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</si>
  <si>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</si>
  <si>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</si>
  <si>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</si>
  <si>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</si>
  <si>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</si>
  <si>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</si>
  <si>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</si>
  <si>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</si>
  <si>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</si>
  <si>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</si>
  <si>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</si>
  <si>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</si>
  <si>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</si>
  <si>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</si>
  <si>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</si>
  <si>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</si>
  <si>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</si>
  <si>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</si>
  <si>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</si>
  <si>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</si>
  <si>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</si>
  <si>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</si>
  <si>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</si>
  <si>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</si>
  <si>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</si>
  <si>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</si>
  <si>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</si>
  <si>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</si>
  <si>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</si>
  <si>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</si>
  <si>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</si>
  <si>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</si>
  <si>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</si>
  <si>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</si>
  <si>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</si>
  <si>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</si>
  <si>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</si>
  <si>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</si>
  <si>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</si>
  <si>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</si>
  <si>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</si>
  <si>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</si>
  <si>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</si>
  <si>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</si>
  <si>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</si>
  <si>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</si>
  <si>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</si>
  <si>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</si>
  <si>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</si>
  <si>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</si>
  <si>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</si>
  <si>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</si>
  <si>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</si>
  <si>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</si>
  <si>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</si>
  <si>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</si>
  <si>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</si>
  <si>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</si>
  <si>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</si>
  <si>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</si>
  <si>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</si>
  <si>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</si>
  <si>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</si>
  <si>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</si>
  <si>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</si>
  <si>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</si>
  <si>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</si>
  <si>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</si>
  <si>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</si>
  <si>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</si>
  <si>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</si>
  <si>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</si>
  <si>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</si>
  <si>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</si>
  <si>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</si>
  <si>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</si>
  <si>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</si>
  <si>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</si>
  <si>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</si>
  <si>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</si>
  <si>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</si>
  <si>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</si>
  <si>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</si>
  <si>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</si>
  <si>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</si>
  <si>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</si>
  <si>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</si>
  <si>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</si>
  <si>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</si>
  <si>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</si>
  <si>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</si>
  <si>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</si>
  <si>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</si>
  <si>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</si>
  <si>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</si>
  <si>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</si>
  <si>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</si>
  <si>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</si>
  <si>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</si>
  <si>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</si>
  <si>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</si>
  <si>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</si>
  <si>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</si>
  <si>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</si>
  <si>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</si>
  <si>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</si>
  <si>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</si>
  <si>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</si>
  <si>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Supervisor de Orçamento e Contas a Pagar</t>
  </si>
  <si>
    <t>1ª Reunião - Comitê Técnico Regulatório Commit &amp; Mitsui</t>
  </si>
  <si>
    <t>Técnico de Operacional de Operações</t>
  </si>
  <si>
    <t>SUBSTITUIÇÃO DE COLABORADOR EM PERÍODO DE FÉRIAS.</t>
  </si>
  <si>
    <t>reunião rio de janeiro GYPSUM</t>
  </si>
  <si>
    <t>SEMINÁRIO GÁS NATURAL - IBP - RIO DE JANEIRO.</t>
  </si>
  <si>
    <t>ASSISTENTE DO DTC</t>
  </si>
  <si>
    <t>SEMINÁRIO GÁS NATURAL IBP - RIO DE JANEIRO</t>
  </si>
  <si>
    <t>ASSISTENTE DO DAF</t>
  </si>
  <si>
    <t>VITOR DE ALMEIDA DINIZ</t>
  </si>
  <si>
    <t>COORDENADOR DE NOVOS NEGOCIOS</t>
  </si>
  <si>
    <t>REUNIÃO  ABEGÁS</t>
  </si>
  <si>
    <t>FELIPE VALENCA DE SOUSA</t>
  </si>
  <si>
    <t>REUNIÃO DIRETORIA COPERGÁS COM DIRETORI AMITSUI E COMMIT- RIO DE JANEIRO E SÃO PAULO</t>
  </si>
  <si>
    <t xml:space="preserve"> Energy Forum - IBP</t>
  </si>
  <si>
    <t>PROJETO BIOMETANO PETROLINA(PE)-JUAZEIRO(BA) COM TRAVESSIA DO RIO SAO FRANCISCO.</t>
  </si>
  <si>
    <t>AGENDA ANUAL DE VISITA AOS BANCOS - SP. REUNIÃO COMMIT</t>
  </si>
  <si>
    <t>GERENTE FINACEIRO</t>
  </si>
  <si>
    <t>Trata-se de viagem para reuniões em SP.</t>
  </si>
  <si>
    <t>CONFI - CONSELHO FISCAL</t>
  </si>
  <si>
    <t>ALYNE VALENTIM MUNIZ</t>
  </si>
  <si>
    <t>CONSELHO FISCAL</t>
  </si>
  <si>
    <t>REUNIÃO DO CONSELHO FISCAL</t>
  </si>
  <si>
    <t>BRUNO DO PRADO CASTILHO</t>
  </si>
  <si>
    <t>Referente viagem para reunião Copergás - EY</t>
  </si>
  <si>
    <t>SEMINARIO LEI DAS ESTATAIS aprovado na lnt</t>
  </si>
  <si>
    <t>VISITAS GYPSUM E NIAGRO</t>
  </si>
  <si>
    <t>Trata-se de viagem REC - SP - REC  a trabalho.</t>
  </si>
  <si>
    <t xml:space="preserve">curso Latam e Brazil Oil&amp;Gás Summit 2023 </t>
  </si>
  <si>
    <t>REUNIÃO PETROLINA</t>
  </si>
  <si>
    <t>REUNIÃO MINISTERIAL</t>
  </si>
  <si>
    <t>TECNICO OPERACIONAL SEGURANÇA DE TRABALHO</t>
  </si>
  <si>
    <t>Treinamento de integração de QSMS para as equipes das contratadas de Caruaru e Garanhuns: Engear, MW e Carplan.</t>
  </si>
  <si>
    <t>SÃO LUIZ</t>
  </si>
  <si>
    <t xml:space="preserve">New Fórum de Energia no Rio </t>
  </si>
  <si>
    <t>SUPERVISOR ORÇAMENTO E CONTAS A PAGAR</t>
  </si>
  <si>
    <t>PARTICIPAR DO RIO PIPELINE -RJ</t>
  </si>
  <si>
    <t>BRUNA TEIXEIRA MACIAS MOURY FERNANDES</t>
  </si>
  <si>
    <t>Workshop ESG Commit</t>
  </si>
  <si>
    <t>MANUELA MARANHAO DE AZEVEDO MELLO</t>
  </si>
  <si>
    <t>ACOMPANHAENTO CHEGADA NAVIO EM FERANDO DE NORONHA</t>
  </si>
  <si>
    <t>FERNANDO DE NORONHA</t>
  </si>
  <si>
    <t>REUNIÃO COM EMPRESA DE ENGENHARIA</t>
  </si>
  <si>
    <t>REUNIÃO FGV</t>
  </si>
  <si>
    <t xml:space="preserve">CONGRESSO ABRAMAN </t>
  </si>
  <si>
    <t>ISABELLE MIRANDA CESAR</t>
  </si>
  <si>
    <t>VISITA AO POLO GESSEIRO</t>
  </si>
  <si>
    <t>APRESENTAÇÃO 1ST PASS</t>
  </si>
  <si>
    <t>ABEGAS</t>
  </si>
  <si>
    <t>VISITA A PETROBRAS</t>
  </si>
  <si>
    <t>MEDIAÇÃO FGV</t>
  </si>
  <si>
    <t>TECNICO OPERACIONAL QSMS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</si>
  <si>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</si>
  <si>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</si>
  <si>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</si>
  <si>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</si>
  <si>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</si>
  <si>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ENGENHEIRA DE QSMS</t>
  </si>
  <si>
    <t>TREINAMENTO DE INTEGRAÇÃO DE CONTRATADAS</t>
  </si>
  <si>
    <t>REFRENTE VIAGEM PARA ABEGÁS EM MACEIÓ.</t>
  </si>
  <si>
    <t>LEGILMO MARCELO FONTES DE OLIVEIRA</t>
  </si>
  <si>
    <t>GERENTE DE TI</t>
  </si>
  <si>
    <t>SICOLOS &amp; COPERGÁS - CONVITE PARA O RPA &amp; IA CONGRESSO BA</t>
  </si>
  <si>
    <t>TECNICO OPERACIONAL DE OPERAÇÃO E SUPORTE DE REDE</t>
  </si>
  <si>
    <t>SUBSTITUIÇÃO EM FÉRIAS DO COLABORADOR HUGO DINIZ, LOTADO EM PETROLINA-PE.</t>
  </si>
  <si>
    <t>REUNIÃO COM O BANCO SAFRA E CAIXA ECONOMICA - SP / XIII CONGRESSO BRASILEIRO DA ABAR - SP</t>
  </si>
  <si>
    <t>SUPERVISOR FINANCEIRO</t>
  </si>
  <si>
    <t>BENCHMARKING SUPRIMENTO DE GN NA BAHIAGÁS</t>
  </si>
  <si>
    <t>CLEITON OLEGARIO DA SILVA</t>
  </si>
  <si>
    <t>SUPERVSIOR DE LOGISTICA</t>
  </si>
  <si>
    <t>VINICIUS MACEDO BEZERRA</t>
  </si>
  <si>
    <t>ENGENHEIRO DE OPERAÇÃO E SUPORTE DE REDE</t>
  </si>
  <si>
    <t>CGCR - COORDENADORIA DE GOV, CONFORM E RISCOS</t>
  </si>
  <si>
    <t>COORDENADOR DE GORVENANÇA, CONFORMIDADE E RISCOS</t>
  </si>
  <si>
    <t>VIAGEM PARA EXPOGESSO</t>
  </si>
  <si>
    <t>JUAZEIRO DO NORTE</t>
  </si>
  <si>
    <t>TIAGO LEVI DINIZ LIMA</t>
  </si>
  <si>
    <t>ASSISTENTE DO PRE</t>
  </si>
  <si>
    <t>TECNICO OPERACIONAL DE QSMS</t>
  </si>
  <si>
    <t>TREINAMENTO E INSPEÇÃO DE OBRA DA UNIFORTE (CONTRATO DTC 028/23).</t>
  </si>
  <si>
    <t>TREINAMENTO AVALIAÇÃO DOS 15 COMPROMISSOS DE SMS</t>
  </si>
  <si>
    <t>SUPERVISOR DE SEGMENTO INDUSTRIAL</t>
  </si>
  <si>
    <t>INTERNACIONAL</t>
  </si>
  <si>
    <t>ORLANDO</t>
  </si>
  <si>
    <t>GERENTE DE RH</t>
  </si>
  <si>
    <t xml:space="preserve">10º FÓRUM DE RH </t>
  </si>
  <si>
    <t>REGULATÓRIO - COMMIT</t>
  </si>
  <si>
    <t>PARTICIPAR DO  EVENTO - AGENDA TEMÁTICA XII SEMINÁRIO INTERNACIONAL FROTAS &amp; FRETES VERDES 2023.</t>
  </si>
  <si>
    <t>GIS DAY GÁS 2023</t>
  </si>
  <si>
    <t>ARARIPINA</t>
  </si>
  <si>
    <t xml:space="preserve">XII SEMINÁRIO FROTAS &amp; FRETES VERDES </t>
  </si>
  <si>
    <t>EVENTO REGULATÓRIO COMMIT/MITSUI - QUANTUM</t>
  </si>
  <si>
    <t>Avaliação dos 15 Compromissos de SMS</t>
  </si>
  <si>
    <t>PARTICIPAR DO  Evento - Agenda Temática XII Seminário Internacional Frotas &amp; Fretes Verdes 2023.</t>
  </si>
  <si>
    <t>GARTNER - IT Symposium - Xpo.2023 - October 16 - 19, 2023.</t>
  </si>
  <si>
    <t>Evento Regulatório Commit/Mitsui - Quantum</t>
  </si>
  <si>
    <t>ASSEMBLEIA GERAL E CONSELHO DE ADMINISTRAÇÃO - ABEGÁS.</t>
  </si>
  <si>
    <t>JOSÉ EUDES LIMA UCHOA</t>
  </si>
  <si>
    <t>COORDENADOR DA SECRETARIA GERAL</t>
  </si>
  <si>
    <t xml:space="preserve">Jantar de Confraternização dos Associados, a convite da COMMIT GÁS </t>
  </si>
  <si>
    <t>VISITA NA SCANIA E MWM</t>
  </si>
  <si>
    <t>REUNIÃO NORGÁS.</t>
  </si>
  <si>
    <t>Reunião GT Contabilidade</t>
  </si>
  <si>
    <t>VIAGEM FISCALIZAÇÃO DE OBRAS EM PETROLINA</t>
  </si>
  <si>
    <t>SUPERVISOR DO SEGMENTO INDUSTRIAL</t>
  </si>
  <si>
    <t>VISITA A CLIENTES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</si>
  <si>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</si>
  <si>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</si>
  <si>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</si>
  <si>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</si>
  <si>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</si>
  <si>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Gerente Comercial Veicular e Industrial</t>
  </si>
  <si>
    <t>FISCALIZAÇÃO DA OBRA DO BOLSÃO EM PEAD - UNIFORT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</si>
  <si>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</si>
  <si>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</si>
  <si>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</si>
  <si>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</si>
  <si>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ENGENHEIRO DE CONSTRUÇÃO E OBRA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</si>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</sst>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15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  <xf numFmtId="0" fontId="2" fillId="0" borderId="0"/>
  </cellStyleXfs>
  <cellXfs count="186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64" fontId="14" fillId="6" borderId="1" xfId="7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8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16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/>
    <xf numFmtId="164" fontId="0" fillId="0" borderId="3" xfId="7" applyFont="1" applyBorder="1" applyAlignment="1">
      <alignment horizontal="center" vertical="center"/>
    </xf>
    <xf numFmtId="0" fontId="0" fillId="9" borderId="0" xfId="0" applyFill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14" fillId="6" borderId="13" xfId="7" applyFont="1" applyFill="1" applyBorder="1" applyAlignment="1">
      <alignment horizontal="center" vertical="center" wrapText="1"/>
    </xf>
    <xf numFmtId="164" fontId="14" fillId="6" borderId="14" xfId="7" applyFont="1" applyFill="1" applyBorder="1" applyAlignment="1">
      <alignment horizontal="center" vertical="center" wrapText="1"/>
    </xf>
    <xf numFmtId="16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3" xfId="7" applyFont="1" applyBorder="1" applyAlignment="1">
      <alignment horizontal="center" vertical="center"/>
    </xf>
    <xf numFmtId="164" fontId="0" fillId="0" borderId="14" xfId="7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16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164" fontId="14" fillId="6" borderId="19" xfId="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/>
    <xf numFmtId="0" fontId="1" fillId="0" borderId="13" xfId="0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70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42917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43252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8.2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43282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>
      <c r="A22" s="106" t="s">
        <v>272</v>
      </c>
      <c r="B22" s="106" t="s">
        <v>272</v>
      </c>
      <c r="C22" s="108" t="s">
        <v>79</v>
      </c>
      <c r="D22" s="102" t="s">
        <v>107</v>
      </c>
      <c r="E22" s="104" t="s">
        <v>80</v>
      </c>
      <c r="F22" s="106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14">
        <v>0</v>
      </c>
      <c r="R22" s="110">
        <v>0</v>
      </c>
      <c r="S22" s="116">
        <v>0</v>
      </c>
      <c r="T22" s="110">
        <v>0</v>
      </c>
      <c r="U22" s="117">
        <f t="shared" si="1"/>
        <v>0</v>
      </c>
      <c r="V22" s="110">
        <f>P22+P23</f>
        <v>1406.06</v>
      </c>
      <c r="W22" s="111">
        <f t="shared" si="3"/>
        <v>1406.06</v>
      </c>
      <c r="X22" s="113"/>
    </row>
    <row r="23" spans="1:24" ht="38.25" customHeight="1">
      <c r="A23" s="107"/>
      <c r="B23" s="107"/>
      <c r="C23" s="109"/>
      <c r="D23" s="103"/>
      <c r="E23" s="105"/>
      <c r="F23" s="107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15"/>
      <c r="R23" s="110"/>
      <c r="S23" s="116"/>
      <c r="T23" s="110"/>
      <c r="U23" s="117"/>
      <c r="V23" s="110"/>
      <c r="W23" s="112"/>
      <c r="X23" s="113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43313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43344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34" t="s">
        <v>253</v>
      </c>
      <c r="B10" s="34" t="s">
        <v>288</v>
      </c>
      <c r="C10" s="50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>
      <c r="A16" s="106" t="s">
        <v>253</v>
      </c>
      <c r="B16" s="106" t="s">
        <v>253</v>
      </c>
      <c r="C16" s="108" t="s">
        <v>320</v>
      </c>
      <c r="D16" s="102" t="s">
        <v>321</v>
      </c>
      <c r="E16" s="104" t="s">
        <v>78</v>
      </c>
      <c r="F16" s="106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124">
        <v>43356</v>
      </c>
      <c r="M16" s="124">
        <v>43357</v>
      </c>
      <c r="N16" s="31">
        <f>1465.14/2</f>
        <v>732.57</v>
      </c>
      <c r="O16" s="31"/>
      <c r="P16" s="120">
        <f>N16+O17</f>
        <v>1465.14</v>
      </c>
      <c r="Q16" s="108">
        <v>2</v>
      </c>
      <c r="R16" s="120">
        <v>120</v>
      </c>
      <c r="S16" s="108">
        <v>0</v>
      </c>
      <c r="T16" s="120">
        <v>0</v>
      </c>
      <c r="U16" s="122">
        <f t="shared" si="1"/>
        <v>240</v>
      </c>
      <c r="V16" s="120">
        <f t="shared" si="2"/>
        <v>1705.14</v>
      </c>
      <c r="W16" s="120">
        <f t="shared" si="3"/>
        <v>1705.14</v>
      </c>
      <c r="X16" s="118"/>
    </row>
    <row r="17" spans="1:24" ht="14.25">
      <c r="A17" s="107"/>
      <c r="B17" s="107"/>
      <c r="C17" s="109"/>
      <c r="D17" s="103"/>
      <c r="E17" s="105"/>
      <c r="F17" s="107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125"/>
      <c r="M17" s="125"/>
      <c r="N17" s="31"/>
      <c r="O17" s="31">
        <f>1465.14/2</f>
        <v>732.57</v>
      </c>
      <c r="P17" s="121"/>
      <c r="Q17" s="109"/>
      <c r="R17" s="121"/>
      <c r="S17" s="109"/>
      <c r="T17" s="121"/>
      <c r="U17" s="123"/>
      <c r="V17" s="121"/>
      <c r="W17" s="121"/>
      <c r="X17" s="119"/>
    </row>
    <row r="18" spans="1:24" ht="38.2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43374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253</v>
      </c>
      <c r="B10" s="34" t="s">
        <v>288</v>
      </c>
      <c r="C10" s="50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43405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>
      <c r="A20" s="34" t="s">
        <v>231</v>
      </c>
      <c r="B20" s="34" t="s">
        <v>231</v>
      </c>
      <c r="C20" s="40" t="s">
        <v>86</v>
      </c>
      <c r="D20" s="51" t="s">
        <v>77</v>
      </c>
      <c r="E20" s="20" t="s">
        <v>87</v>
      </c>
      <c r="F20" s="34" t="s">
        <v>381</v>
      </c>
      <c r="G20" s="30" t="s">
        <v>36</v>
      </c>
      <c r="H20" s="40" t="s">
        <v>37</v>
      </c>
      <c r="I20" s="40" t="s">
        <v>38</v>
      </c>
      <c r="J20" s="40" t="s">
        <v>39</v>
      </c>
      <c r="K20" s="39" t="s">
        <v>40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>
      <c r="A21" s="131" t="s">
        <v>371</v>
      </c>
      <c r="B21" s="131" t="s">
        <v>371</v>
      </c>
      <c r="C21" s="116" t="s">
        <v>79</v>
      </c>
      <c r="D21" s="126" t="s">
        <v>77</v>
      </c>
      <c r="E21" s="127" t="s">
        <v>80</v>
      </c>
      <c r="F21" s="128" t="s">
        <v>382</v>
      </c>
      <c r="G21" s="129" t="s">
        <v>36</v>
      </c>
      <c r="H21" s="47" t="s">
        <v>37</v>
      </c>
      <c r="I21" s="47" t="s">
        <v>38</v>
      </c>
      <c r="J21" s="47" t="s">
        <v>39</v>
      </c>
      <c r="K21" s="45" t="s">
        <v>40</v>
      </c>
      <c r="L21" s="130">
        <v>43433</v>
      </c>
      <c r="M21" s="130">
        <v>43434</v>
      </c>
      <c r="N21" s="139">
        <f>1395.23/2</f>
        <v>697.61500000000001</v>
      </c>
      <c r="O21" s="137">
        <f>1395.23/2</f>
        <v>697.61500000000001</v>
      </c>
      <c r="P21" s="133">
        <f t="shared" si="0"/>
        <v>697.61500000000001</v>
      </c>
      <c r="Q21" s="116">
        <v>0</v>
      </c>
      <c r="R21" s="133">
        <v>0</v>
      </c>
      <c r="S21" s="116">
        <v>0</v>
      </c>
      <c r="T21" s="133">
        <v>0</v>
      </c>
      <c r="U21" s="134">
        <f t="shared" si="1"/>
        <v>0</v>
      </c>
      <c r="V21" s="120">
        <f t="shared" si="2"/>
        <v>697.61500000000001</v>
      </c>
      <c r="W21" s="137">
        <f t="shared" si="3"/>
        <v>697.61500000000001</v>
      </c>
      <c r="X21" s="130"/>
    </row>
    <row r="22" spans="1:24" ht="26.25" customHeight="1">
      <c r="A22" s="132"/>
      <c r="B22" s="132"/>
      <c r="C22" s="116"/>
      <c r="D22" s="126"/>
      <c r="E22" s="127"/>
      <c r="F22" s="128"/>
      <c r="G22" s="129"/>
      <c r="H22" s="47" t="s">
        <v>39</v>
      </c>
      <c r="I22" s="45" t="s">
        <v>40</v>
      </c>
      <c r="J22" s="47" t="s">
        <v>116</v>
      </c>
      <c r="K22" s="45" t="s">
        <v>117</v>
      </c>
      <c r="L22" s="130"/>
      <c r="M22" s="130"/>
      <c r="N22" s="140"/>
      <c r="O22" s="138"/>
      <c r="P22" s="133">
        <f t="shared" si="0"/>
        <v>0</v>
      </c>
      <c r="Q22" s="116"/>
      <c r="R22" s="133"/>
      <c r="S22" s="116"/>
      <c r="T22" s="133"/>
      <c r="U22" s="135"/>
      <c r="V22" s="136"/>
      <c r="W22" s="138"/>
      <c r="X22" s="130"/>
    </row>
    <row r="23" spans="1:24" ht="25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>
      <c r="A25" s="34" t="s">
        <v>253</v>
      </c>
      <c r="B25" s="34" t="s">
        <v>253</v>
      </c>
      <c r="C25" s="47" t="s">
        <v>320</v>
      </c>
      <c r="D25" s="56" t="s">
        <v>321</v>
      </c>
      <c r="E25" s="20" t="s">
        <v>343</v>
      </c>
      <c r="F25" s="53" t="s">
        <v>386</v>
      </c>
      <c r="G25" s="55" t="s">
        <v>36</v>
      </c>
      <c r="H25" s="47" t="s">
        <v>37</v>
      </c>
      <c r="I25" s="47" t="s">
        <v>38</v>
      </c>
      <c r="J25" s="27" t="s">
        <v>39</v>
      </c>
      <c r="K25" s="31" t="s">
        <v>40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53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43435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5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>
      <c r="A13" s="34" t="s">
        <v>231</v>
      </c>
      <c r="B13" s="34" t="s">
        <v>231</v>
      </c>
      <c r="C13" s="27" t="s">
        <v>86</v>
      </c>
      <c r="D13" s="5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>
      <c r="A15" s="34" t="s">
        <v>253</v>
      </c>
      <c r="B15" s="34" t="s">
        <v>253</v>
      </c>
      <c r="C15" s="27" t="s">
        <v>320</v>
      </c>
      <c r="D15" s="5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43466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5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>
      <c r="A19" s="34" t="s">
        <v>231</v>
      </c>
      <c r="B19" s="34" t="s">
        <v>231</v>
      </c>
      <c r="C19" s="49" t="s">
        <v>86</v>
      </c>
      <c r="D19" s="56" t="s">
        <v>77</v>
      </c>
      <c r="E19" s="61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43497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5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43525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56" t="s">
        <v>77</v>
      </c>
      <c r="E12" s="61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>
      <c r="A19" s="34" t="s">
        <v>253</v>
      </c>
      <c r="B19" s="34" t="s">
        <v>253</v>
      </c>
      <c r="C19" s="34" t="s">
        <v>320</v>
      </c>
      <c r="D19" s="5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42948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43556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253</v>
      </c>
      <c r="B10" s="34" t="s">
        <v>253</v>
      </c>
      <c r="C10" s="34" t="s">
        <v>320</v>
      </c>
      <c r="D10" s="5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>
      <c r="A11" s="34" t="s">
        <v>253</v>
      </c>
      <c r="B11" s="34" t="s">
        <v>212</v>
      </c>
      <c r="C11" s="34" t="s">
        <v>387</v>
      </c>
      <c r="D11" s="5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5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43564</v>
      </c>
      <c r="M12" s="62" t="s">
        <v>421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43564</v>
      </c>
      <c r="M13" s="62" t="s">
        <v>421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>
      <c r="A16" s="34" t="s">
        <v>253</v>
      </c>
      <c r="B16" s="34" t="s">
        <v>253</v>
      </c>
      <c r="C16" s="34" t="s">
        <v>320</v>
      </c>
      <c r="D16" s="5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43586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>
      <c r="A11" s="34" t="s">
        <v>231</v>
      </c>
      <c r="B11" s="34" t="s">
        <v>215</v>
      </c>
      <c r="C11" s="34" t="s">
        <v>58</v>
      </c>
      <c r="D11" s="5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>
      <c r="A13" s="34" t="s">
        <v>253</v>
      </c>
      <c r="B13" s="34" t="s">
        <v>253</v>
      </c>
      <c r="C13" s="34" t="s">
        <v>320</v>
      </c>
      <c r="D13" s="5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62">
        <v>43605</v>
      </c>
      <c r="M14" s="62" t="s">
        <v>432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>
      <c r="A18" s="34" t="s">
        <v>231</v>
      </c>
      <c r="B18" s="34" t="s">
        <v>310</v>
      </c>
      <c r="C18" s="34" t="s">
        <v>439</v>
      </c>
      <c r="D18" s="5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>
      <c r="A19" s="34" t="s">
        <v>231</v>
      </c>
      <c r="B19" s="34" t="s">
        <v>310</v>
      </c>
      <c r="C19" s="34" t="s">
        <v>443</v>
      </c>
      <c r="D19" s="5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>
      <c r="A22" s="34" t="s">
        <v>253</v>
      </c>
      <c r="B22" s="34" t="s">
        <v>212</v>
      </c>
      <c r="C22" s="34" t="s">
        <v>387</v>
      </c>
      <c r="D22" s="5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43617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14.2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>
      <c r="A11" s="34" t="s">
        <v>253</v>
      </c>
      <c r="B11" s="34" t="s">
        <v>253</v>
      </c>
      <c r="C11" s="34" t="s">
        <v>223</v>
      </c>
      <c r="D11" s="5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>
      <c r="A13" s="34" t="s">
        <v>231</v>
      </c>
      <c r="B13" s="34" t="s">
        <v>450</v>
      </c>
      <c r="C13" s="34" t="s">
        <v>451</v>
      </c>
      <c r="D13" s="5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>
      <c r="A18" s="34" t="s">
        <v>231</v>
      </c>
      <c r="B18" s="34" t="s">
        <v>221</v>
      </c>
      <c r="C18" s="34" t="s">
        <v>54</v>
      </c>
      <c r="D18" s="5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>
      <c r="A19" s="34" t="s">
        <v>371</v>
      </c>
      <c r="B19" s="34" t="s">
        <v>226</v>
      </c>
      <c r="C19" s="34" t="s">
        <v>206</v>
      </c>
      <c r="D19" s="5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>
      <c r="A20" s="34" t="s">
        <v>371</v>
      </c>
      <c r="B20" s="34" t="s">
        <v>371</v>
      </c>
      <c r="C20" s="65" t="s">
        <v>79</v>
      </c>
      <c r="D20" s="51"/>
      <c r="E20" s="64"/>
      <c r="F20" s="65" t="s">
        <v>453</v>
      </c>
      <c r="G20" s="65" t="s">
        <v>36</v>
      </c>
      <c r="H20" s="65" t="s">
        <v>37</v>
      </c>
      <c r="I20" s="65" t="s">
        <v>38</v>
      </c>
      <c r="J20" s="65" t="s">
        <v>39</v>
      </c>
      <c r="K20" s="65" t="s">
        <v>40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>
      <c r="A21" s="131" t="s">
        <v>253</v>
      </c>
      <c r="B21" s="131" t="s">
        <v>253</v>
      </c>
      <c r="C21" s="128" t="s">
        <v>320</v>
      </c>
      <c r="D21" s="126"/>
      <c r="E21" s="127"/>
      <c r="F21" s="128" t="s">
        <v>454</v>
      </c>
      <c r="G21" s="128" t="s">
        <v>36</v>
      </c>
      <c r="H21" s="53" t="s">
        <v>116</v>
      </c>
      <c r="I21" s="53" t="s">
        <v>117</v>
      </c>
      <c r="J21" s="53" t="s">
        <v>39</v>
      </c>
      <c r="K21" s="53" t="s">
        <v>40</v>
      </c>
      <c r="L21" s="69">
        <v>43629</v>
      </c>
      <c r="M21" s="69">
        <v>43630</v>
      </c>
      <c r="N21" s="142">
        <f>3129.35/2</f>
        <v>1564.675</v>
      </c>
      <c r="O21" s="142">
        <f>3129.35/2</f>
        <v>1564.675</v>
      </c>
      <c r="P21" s="142">
        <v>1925.28</v>
      </c>
      <c r="Q21" s="128">
        <v>2</v>
      </c>
      <c r="R21" s="142">
        <v>120</v>
      </c>
      <c r="S21" s="142">
        <v>0</v>
      </c>
      <c r="T21" s="142">
        <v>0</v>
      </c>
      <c r="U21" s="143">
        <f t="shared" ref="U21" si="4">(Q21*R21)+(S21*T21)</f>
        <v>240</v>
      </c>
      <c r="V21" s="146">
        <f t="shared" ref="V21" si="5">U21+P21</f>
        <v>2165.2799999999997</v>
      </c>
      <c r="W21" s="149">
        <f t="shared" si="3"/>
        <v>2165.2799999999997</v>
      </c>
      <c r="X21" s="142"/>
    </row>
    <row r="22" spans="1:24" ht="14.25">
      <c r="A22" s="141"/>
      <c r="B22" s="141"/>
      <c r="C22" s="128"/>
      <c r="D22" s="126"/>
      <c r="E22" s="127"/>
      <c r="F22" s="128"/>
      <c r="G22" s="128"/>
      <c r="H22" s="53" t="s">
        <v>39</v>
      </c>
      <c r="I22" s="53" t="s">
        <v>40</v>
      </c>
      <c r="J22" s="53" t="s">
        <v>127</v>
      </c>
      <c r="K22" s="53" t="s">
        <v>63</v>
      </c>
      <c r="L22" s="69">
        <v>43630</v>
      </c>
      <c r="M22" s="69">
        <v>43633</v>
      </c>
      <c r="N22" s="142"/>
      <c r="O22" s="142"/>
      <c r="P22" s="142"/>
      <c r="Q22" s="128"/>
      <c r="R22" s="142"/>
      <c r="S22" s="142"/>
      <c r="T22" s="142"/>
      <c r="U22" s="144"/>
      <c r="V22" s="147"/>
      <c r="W22" s="150"/>
      <c r="X22" s="142"/>
    </row>
    <row r="23" spans="1:24" ht="15" customHeight="1">
      <c r="A23" s="132"/>
      <c r="B23" s="132"/>
      <c r="C23" s="128"/>
      <c r="D23" s="126"/>
      <c r="E23" s="127"/>
      <c r="F23" s="128"/>
      <c r="G23" s="128"/>
      <c r="H23" s="53" t="s">
        <v>127</v>
      </c>
      <c r="I23" s="53" t="s">
        <v>63</v>
      </c>
      <c r="J23" s="53" t="s">
        <v>37</v>
      </c>
      <c r="K23" s="53" t="s">
        <v>38</v>
      </c>
      <c r="L23" s="69">
        <v>43633</v>
      </c>
      <c r="M23" s="69">
        <v>43633</v>
      </c>
      <c r="N23" s="142"/>
      <c r="O23" s="142"/>
      <c r="P23" s="142"/>
      <c r="Q23" s="128"/>
      <c r="R23" s="142"/>
      <c r="S23" s="142"/>
      <c r="T23" s="142"/>
      <c r="U23" s="145"/>
      <c r="V23" s="148"/>
      <c r="W23" s="151"/>
      <c r="X23" s="142"/>
    </row>
    <row r="24" spans="1:24" ht="45" customHeight="1">
      <c r="A24" s="34" t="s">
        <v>253</v>
      </c>
      <c r="B24" s="34" t="s">
        <v>322</v>
      </c>
      <c r="C24" s="34" t="s">
        <v>350</v>
      </c>
      <c r="D24" s="44"/>
      <c r="E24" s="44"/>
      <c r="F24" s="65" t="s">
        <v>455</v>
      </c>
      <c r="G24" s="65" t="s">
        <v>36</v>
      </c>
      <c r="H24" s="65" t="s">
        <v>37</v>
      </c>
      <c r="I24" s="65" t="s">
        <v>38</v>
      </c>
      <c r="J24" s="34" t="s">
        <v>39</v>
      </c>
      <c r="K24" s="34" t="s">
        <v>40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>
      <c r="A25" s="34" t="s">
        <v>253</v>
      </c>
      <c r="B25" s="34" t="s">
        <v>322</v>
      </c>
      <c r="C25" s="34" t="s">
        <v>456</v>
      </c>
      <c r="D25" s="44"/>
      <c r="E25" s="44"/>
      <c r="F25" s="65" t="s">
        <v>455</v>
      </c>
      <c r="G25" s="65" t="s">
        <v>36</v>
      </c>
      <c r="H25" s="65" t="s">
        <v>37</v>
      </c>
      <c r="I25" s="65" t="s">
        <v>38</v>
      </c>
      <c r="J25" s="34" t="s">
        <v>39</v>
      </c>
      <c r="K25" s="34" t="s">
        <v>40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>
      <c r="A26" s="34" t="s">
        <v>253</v>
      </c>
      <c r="B26" s="34" t="s">
        <v>322</v>
      </c>
      <c r="C26" s="34" t="s">
        <v>457</v>
      </c>
      <c r="D26" s="44"/>
      <c r="E26" s="44"/>
      <c r="F26" s="65" t="s">
        <v>455</v>
      </c>
      <c r="G26" s="65" t="s">
        <v>36</v>
      </c>
      <c r="H26" s="65" t="s">
        <v>37</v>
      </c>
      <c r="I26" s="65" t="s">
        <v>38</v>
      </c>
      <c r="J26" s="34" t="s">
        <v>39</v>
      </c>
      <c r="K26" s="34" t="s">
        <v>40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>
      <c r="A27" s="34" t="s">
        <v>253</v>
      </c>
      <c r="B27" s="34" t="s">
        <v>322</v>
      </c>
      <c r="C27" s="34" t="s">
        <v>458</v>
      </c>
      <c r="D27" s="44"/>
      <c r="E27" s="44"/>
      <c r="F27" s="65" t="s">
        <v>455</v>
      </c>
      <c r="G27" s="65" t="s">
        <v>36</v>
      </c>
      <c r="H27" s="65" t="s">
        <v>37</v>
      </c>
      <c r="I27" s="65" t="s">
        <v>38</v>
      </c>
      <c r="J27" s="34" t="s">
        <v>39</v>
      </c>
      <c r="K27" s="34" t="s">
        <v>40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>
      <c r="A28" s="34" t="s">
        <v>253</v>
      </c>
      <c r="B28" s="34" t="s">
        <v>288</v>
      </c>
      <c r="C28" s="34" t="s">
        <v>459</v>
      </c>
      <c r="D28" s="44"/>
      <c r="E28" s="44"/>
      <c r="F28" s="65" t="s">
        <v>455</v>
      </c>
      <c r="G28" s="65" t="s">
        <v>36</v>
      </c>
      <c r="H28" s="65" t="s">
        <v>37</v>
      </c>
      <c r="I28" s="65" t="s">
        <v>38</v>
      </c>
      <c r="J28" s="34" t="s">
        <v>39</v>
      </c>
      <c r="K28" s="34" t="s">
        <v>40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>
      <c r="A29" s="34" t="s">
        <v>253</v>
      </c>
      <c r="B29" s="34" t="s">
        <v>288</v>
      </c>
      <c r="C29" s="34" t="s">
        <v>378</v>
      </c>
      <c r="D29" s="44"/>
      <c r="E29" s="44"/>
      <c r="F29" s="53" t="s">
        <v>455</v>
      </c>
      <c r="G29" s="53" t="s">
        <v>36</v>
      </c>
      <c r="H29" s="53" t="s">
        <v>37</v>
      </c>
      <c r="I29" s="53" t="s">
        <v>38</v>
      </c>
      <c r="J29" s="34" t="s">
        <v>39</v>
      </c>
      <c r="K29" s="34" t="s">
        <v>40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72">
        <v>43586</v>
      </c>
    </row>
    <row r="6" spans="1:47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7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371</v>
      </c>
      <c r="B10" s="97" t="s">
        <v>240</v>
      </c>
      <c r="C10" s="97" t="s">
        <v>448</v>
      </c>
      <c r="D10" s="29" t="s">
        <v>460</v>
      </c>
      <c r="E10" s="20" t="s">
        <v>60</v>
      </c>
      <c r="F10" s="53" t="s">
        <v>461</v>
      </c>
      <c r="G10" s="53" t="s">
        <v>36</v>
      </c>
      <c r="H10" s="53" t="s">
        <v>37</v>
      </c>
      <c r="I10" s="53" t="s">
        <v>38</v>
      </c>
      <c r="J10" s="53" t="s">
        <v>148</v>
      </c>
      <c r="K10" s="53" t="s">
        <v>183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371</v>
      </c>
      <c r="B11" s="97" t="s">
        <v>240</v>
      </c>
      <c r="C11" s="97" t="s">
        <v>140</v>
      </c>
      <c r="D11" s="29" t="s">
        <v>141</v>
      </c>
      <c r="E11" s="20" t="s">
        <v>411</v>
      </c>
      <c r="F11" s="53" t="s">
        <v>461</v>
      </c>
      <c r="G11" s="53" t="s">
        <v>36</v>
      </c>
      <c r="H11" s="53" t="s">
        <v>37</v>
      </c>
      <c r="I11" s="53" t="s">
        <v>38</v>
      </c>
      <c r="J11" s="53" t="s">
        <v>148</v>
      </c>
      <c r="K11" s="53" t="s">
        <v>183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53" t="s">
        <v>231</v>
      </c>
      <c r="B12" s="97" t="s">
        <v>221</v>
      </c>
      <c r="C12" s="97" t="s">
        <v>54</v>
      </c>
      <c r="D12" s="29" t="s">
        <v>88</v>
      </c>
      <c r="E12" s="20" t="s">
        <v>55</v>
      </c>
      <c r="F12" s="53" t="s">
        <v>461</v>
      </c>
      <c r="G12" s="53" t="s">
        <v>36</v>
      </c>
      <c r="H12" s="53" t="s">
        <v>37</v>
      </c>
      <c r="I12" s="53" t="s">
        <v>38</v>
      </c>
      <c r="J12" s="53" t="s">
        <v>148</v>
      </c>
      <c r="K12" s="53" t="s">
        <v>183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>
      <c r="A13" s="53" t="s">
        <v>231</v>
      </c>
      <c r="B13" s="97" t="s">
        <v>462</v>
      </c>
      <c r="C13" s="97" t="s">
        <v>401</v>
      </c>
      <c r="D13" s="56" t="s">
        <v>402</v>
      </c>
      <c r="E13" s="66" t="s">
        <v>403</v>
      </c>
      <c r="F13" s="53" t="s">
        <v>463</v>
      </c>
      <c r="G13" s="53" t="s">
        <v>36</v>
      </c>
      <c r="H13" s="53" t="s">
        <v>37</v>
      </c>
      <c r="I13" s="53" t="s">
        <v>38</v>
      </c>
      <c r="J13" s="53" t="s">
        <v>464</v>
      </c>
      <c r="K13" s="53" t="s">
        <v>425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53" t="s">
        <v>231</v>
      </c>
      <c r="B14" s="97" t="s">
        <v>229</v>
      </c>
      <c r="C14" s="97" t="s">
        <v>246</v>
      </c>
      <c r="D14" s="56" t="s">
        <v>247</v>
      </c>
      <c r="E14" s="66" t="s">
        <v>341</v>
      </c>
      <c r="F14" s="53" t="s">
        <v>465</v>
      </c>
      <c r="G14" s="53" t="s">
        <v>36</v>
      </c>
      <c r="H14" s="53" t="s">
        <v>37</v>
      </c>
      <c r="I14" s="53" t="s">
        <v>38</v>
      </c>
      <c r="J14" s="53" t="s">
        <v>39</v>
      </c>
      <c r="K14" s="53" t="s">
        <v>40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 t="s">
        <v>371</v>
      </c>
      <c r="B15" s="97" t="s">
        <v>396</v>
      </c>
      <c r="C15" s="97" t="s">
        <v>466</v>
      </c>
      <c r="D15" s="56" t="s">
        <v>467</v>
      </c>
      <c r="E15" s="66" t="s">
        <v>468</v>
      </c>
      <c r="F15" s="53" t="s">
        <v>469</v>
      </c>
      <c r="G15" s="53" t="s">
        <v>36</v>
      </c>
      <c r="H15" s="53" t="s">
        <v>37</v>
      </c>
      <c r="I15" s="53" t="s">
        <v>38</v>
      </c>
      <c r="J15" s="53" t="s">
        <v>148</v>
      </c>
      <c r="K15" s="53" t="s">
        <v>183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>
      <c r="A16" s="53" t="s">
        <v>371</v>
      </c>
      <c r="B16" s="97" t="s">
        <v>371</v>
      </c>
      <c r="C16" s="97" t="s">
        <v>79</v>
      </c>
      <c r="D16" s="29" t="s">
        <v>77</v>
      </c>
      <c r="E16" s="20" t="s">
        <v>80</v>
      </c>
      <c r="F16" s="53" t="s">
        <v>470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>
      <c r="A17" s="53" t="s">
        <v>371</v>
      </c>
      <c r="B17" s="97" t="s">
        <v>226</v>
      </c>
      <c r="C17" s="97" t="s">
        <v>46</v>
      </c>
      <c r="D17" s="29" t="s">
        <v>69</v>
      </c>
      <c r="E17" s="20" t="s">
        <v>47</v>
      </c>
      <c r="F17" s="53" t="s">
        <v>471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>
      <c r="A18" s="53" t="s">
        <v>371</v>
      </c>
      <c r="B18" s="97" t="s">
        <v>226</v>
      </c>
      <c r="C18" s="97" t="s">
        <v>206</v>
      </c>
      <c r="D18" s="29" t="s">
        <v>207</v>
      </c>
      <c r="E18" s="20" t="s">
        <v>208</v>
      </c>
      <c r="F18" s="53" t="s">
        <v>472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371</v>
      </c>
      <c r="B19" s="97" t="s">
        <v>226</v>
      </c>
      <c r="C19" s="97" t="s">
        <v>473</v>
      </c>
      <c r="D19" s="29" t="s">
        <v>474</v>
      </c>
      <c r="E19" s="20" t="s">
        <v>475</v>
      </c>
      <c r="F19" s="53" t="s">
        <v>472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371</v>
      </c>
      <c r="B20" s="97" t="s">
        <v>396</v>
      </c>
      <c r="C20" s="97" t="s">
        <v>466</v>
      </c>
      <c r="D20" s="56" t="s">
        <v>467</v>
      </c>
      <c r="E20" s="66" t="s">
        <v>468</v>
      </c>
      <c r="F20" s="53" t="s">
        <v>470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>
      <c r="A21" s="53" t="s">
        <v>371</v>
      </c>
      <c r="B21" s="97" t="s">
        <v>396</v>
      </c>
      <c r="C21" s="97" t="s">
        <v>466</v>
      </c>
      <c r="D21" s="56" t="s">
        <v>467</v>
      </c>
      <c r="E21" s="66" t="s">
        <v>468</v>
      </c>
      <c r="F21" s="53" t="s">
        <v>476</v>
      </c>
      <c r="G21" s="53" t="s">
        <v>36</v>
      </c>
      <c r="H21" s="53" t="s">
        <v>37</v>
      </c>
      <c r="I21" s="53" t="s">
        <v>38</v>
      </c>
      <c r="J21" s="53" t="s">
        <v>116</v>
      </c>
      <c r="K21" s="53" t="s">
        <v>117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>
      <c r="A22" s="53" t="s">
        <v>371</v>
      </c>
      <c r="B22" s="97" t="s">
        <v>396</v>
      </c>
      <c r="C22" s="97" t="s">
        <v>267</v>
      </c>
      <c r="D22" s="29" t="s">
        <v>145</v>
      </c>
      <c r="E22" s="20" t="s">
        <v>399</v>
      </c>
      <c r="F22" s="53" t="s">
        <v>470</v>
      </c>
      <c r="G22" s="53" t="s">
        <v>36</v>
      </c>
      <c r="H22" s="53" t="s">
        <v>37</v>
      </c>
      <c r="I22" s="53" t="s">
        <v>38</v>
      </c>
      <c r="J22" s="53" t="s">
        <v>318</v>
      </c>
      <c r="K22" s="53" t="s">
        <v>40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>
      <c r="A23" s="53" t="s">
        <v>371</v>
      </c>
      <c r="B23" s="97" t="s">
        <v>240</v>
      </c>
      <c r="C23" s="97" t="s">
        <v>477</v>
      </c>
      <c r="D23" s="29" t="s">
        <v>135</v>
      </c>
      <c r="E23" s="20" t="s">
        <v>478</v>
      </c>
      <c r="F23" s="53" t="s">
        <v>479</v>
      </c>
      <c r="G23" s="53" t="s">
        <v>36</v>
      </c>
      <c r="H23" s="53" t="s">
        <v>37</v>
      </c>
      <c r="I23" s="53" t="s">
        <v>38</v>
      </c>
      <c r="J23" s="53" t="s">
        <v>318</v>
      </c>
      <c r="K23" s="53" t="s">
        <v>40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>
      <c r="A24" s="53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479</v>
      </c>
      <c r="G24" s="53" t="s">
        <v>36</v>
      </c>
      <c r="H24" s="53" t="s">
        <v>37</v>
      </c>
      <c r="I24" s="53" t="s">
        <v>38</v>
      </c>
      <c r="J24" s="53" t="s">
        <v>318</v>
      </c>
      <c r="K24" s="53" t="s">
        <v>40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>
      <c r="A25" s="53" t="s">
        <v>371</v>
      </c>
      <c r="B25" s="97" t="s">
        <v>295</v>
      </c>
      <c r="C25" s="97" t="s">
        <v>480</v>
      </c>
      <c r="D25" s="29" t="s">
        <v>481</v>
      </c>
      <c r="E25" s="20" t="s">
        <v>475</v>
      </c>
      <c r="F25" s="53" t="s">
        <v>482</v>
      </c>
      <c r="G25" s="53" t="s">
        <v>36</v>
      </c>
      <c r="H25" s="53" t="s">
        <v>37</v>
      </c>
      <c r="I25" s="53" t="s">
        <v>38</v>
      </c>
      <c r="J25" s="53" t="s">
        <v>318</v>
      </c>
      <c r="K25" s="53" t="s">
        <v>40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>
      <c r="A26" s="53" t="s">
        <v>371</v>
      </c>
      <c r="B26" s="97" t="s">
        <v>295</v>
      </c>
      <c r="C26" s="97" t="s">
        <v>483</v>
      </c>
      <c r="D26" s="29" t="s">
        <v>300</v>
      </c>
      <c r="E26" s="20" t="s">
        <v>484</v>
      </c>
      <c r="F26" s="53" t="s">
        <v>482</v>
      </c>
      <c r="G26" s="53" t="s">
        <v>36</v>
      </c>
      <c r="H26" s="53" t="s">
        <v>37</v>
      </c>
      <c r="I26" s="53" t="s">
        <v>38</v>
      </c>
      <c r="J26" s="53" t="s">
        <v>318</v>
      </c>
      <c r="K26" s="53" t="s">
        <v>40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>
      <c r="A27" s="53" t="s">
        <v>231</v>
      </c>
      <c r="B27" s="97" t="s">
        <v>221</v>
      </c>
      <c r="C27" s="97" t="s">
        <v>54</v>
      </c>
      <c r="D27" s="29" t="s">
        <v>88</v>
      </c>
      <c r="E27" s="20" t="s">
        <v>55</v>
      </c>
      <c r="F27" s="53" t="s">
        <v>485</v>
      </c>
      <c r="G27" s="53" t="s">
        <v>36</v>
      </c>
      <c r="H27" s="53" t="s">
        <v>37</v>
      </c>
      <c r="I27" s="53" t="s">
        <v>38</v>
      </c>
      <c r="J27" s="53" t="s">
        <v>116</v>
      </c>
      <c r="K27" s="53" t="s">
        <v>117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>
      <c r="A28" s="53" t="s">
        <v>253</v>
      </c>
      <c r="B28" s="97" t="s">
        <v>253</v>
      </c>
      <c r="C28" s="97" t="s">
        <v>320</v>
      </c>
      <c r="D28" s="56" t="s">
        <v>321</v>
      </c>
      <c r="E28" s="20" t="s">
        <v>343</v>
      </c>
      <c r="F28" s="53" t="s">
        <v>485</v>
      </c>
      <c r="G28" s="53" t="s">
        <v>36</v>
      </c>
      <c r="H28" s="53" t="s">
        <v>37</v>
      </c>
      <c r="I28" s="53" t="s">
        <v>38</v>
      </c>
      <c r="J28" s="53" t="s">
        <v>116</v>
      </c>
      <c r="K28" s="53" t="s">
        <v>117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>
      <c r="A29" s="53" t="s">
        <v>253</v>
      </c>
      <c r="B29" s="97" t="s">
        <v>253</v>
      </c>
      <c r="C29" s="97" t="s">
        <v>486</v>
      </c>
      <c r="D29" s="29" t="s">
        <v>77</v>
      </c>
      <c r="E29" s="20" t="s">
        <v>50</v>
      </c>
      <c r="F29" s="53" t="s">
        <v>487</v>
      </c>
      <c r="G29" s="53" t="s">
        <v>36</v>
      </c>
      <c r="H29" s="53" t="s">
        <v>37</v>
      </c>
      <c r="I29" s="53" t="s">
        <v>38</v>
      </c>
      <c r="J29" s="53" t="s">
        <v>318</v>
      </c>
      <c r="K29" s="53" t="s">
        <v>40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>
      <c r="A30" s="53" t="s">
        <v>253</v>
      </c>
      <c r="B30" s="97" t="s">
        <v>253</v>
      </c>
      <c r="C30" s="97" t="s">
        <v>320</v>
      </c>
      <c r="D30" s="56" t="s">
        <v>321</v>
      </c>
      <c r="E30" s="20" t="s">
        <v>343</v>
      </c>
      <c r="F30" s="53" t="s">
        <v>487</v>
      </c>
      <c r="G30" s="53" t="s">
        <v>36</v>
      </c>
      <c r="H30" s="53" t="s">
        <v>37</v>
      </c>
      <c r="I30" s="53" t="s">
        <v>38</v>
      </c>
      <c r="J30" s="53" t="s">
        <v>318</v>
      </c>
      <c r="K30" s="53" t="s">
        <v>40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>
      <c r="A31" s="53" t="s">
        <v>231</v>
      </c>
      <c r="B31" s="97" t="s">
        <v>310</v>
      </c>
      <c r="C31" s="97" t="s">
        <v>439</v>
      </c>
      <c r="D31" s="29" t="s">
        <v>440</v>
      </c>
      <c r="E31" s="20" t="s">
        <v>488</v>
      </c>
      <c r="F31" s="71" t="s">
        <v>489</v>
      </c>
      <c r="G31" s="53" t="s">
        <v>36</v>
      </c>
      <c r="H31" s="53" t="s">
        <v>37</v>
      </c>
      <c r="I31" s="53" t="s">
        <v>38</v>
      </c>
      <c r="J31" s="53" t="s">
        <v>318</v>
      </c>
      <c r="K31" s="53" t="s">
        <v>40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>
      <c r="A32" s="53" t="s">
        <v>231</v>
      </c>
      <c r="B32" s="97" t="s">
        <v>229</v>
      </c>
      <c r="C32" s="97" t="s">
        <v>490</v>
      </c>
      <c r="D32" s="29" t="s">
        <v>491</v>
      </c>
      <c r="E32" s="20" t="s">
        <v>488</v>
      </c>
      <c r="F32" s="53" t="s">
        <v>492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>
      <c r="A33" s="53" t="s">
        <v>253</v>
      </c>
      <c r="B33" s="97" t="s">
        <v>212</v>
      </c>
      <c r="C33" s="97" t="s">
        <v>100</v>
      </c>
      <c r="D33" s="29" t="s">
        <v>101</v>
      </c>
      <c r="E33" s="20" t="s">
        <v>493</v>
      </c>
      <c r="F33" s="53" t="s">
        <v>494</v>
      </c>
      <c r="G33" s="53" t="s">
        <v>36</v>
      </c>
      <c r="H33" s="53" t="s">
        <v>37</v>
      </c>
      <c r="I33" s="53" t="s">
        <v>38</v>
      </c>
      <c r="J33" s="53" t="s">
        <v>62</v>
      </c>
      <c r="K33" s="53" t="s">
        <v>414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>
      <c r="A34" s="53" t="s">
        <v>371</v>
      </c>
      <c r="B34" s="97" t="s">
        <v>240</v>
      </c>
      <c r="C34" s="97" t="s">
        <v>140</v>
      </c>
      <c r="D34" s="29" t="s">
        <v>141</v>
      </c>
      <c r="E34" s="20" t="s">
        <v>411</v>
      </c>
      <c r="F34" s="53" t="s">
        <v>495</v>
      </c>
      <c r="G34" s="53" t="s">
        <v>36</v>
      </c>
      <c r="H34" s="53" t="s">
        <v>37</v>
      </c>
      <c r="I34" s="53" t="s">
        <v>38</v>
      </c>
      <c r="J34" s="53" t="s">
        <v>318</v>
      </c>
      <c r="K34" s="53" t="s">
        <v>40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>
      <c r="A35" s="53" t="s">
        <v>253</v>
      </c>
      <c r="B35" s="97" t="s">
        <v>288</v>
      </c>
      <c r="C35" s="97" t="s">
        <v>378</v>
      </c>
      <c r="D35" s="29" t="s">
        <v>379</v>
      </c>
      <c r="E35" s="20" t="s">
        <v>493</v>
      </c>
      <c r="F35" s="53" t="s">
        <v>496</v>
      </c>
      <c r="G35" s="53" t="s">
        <v>36</v>
      </c>
      <c r="H35" s="53" t="s">
        <v>37</v>
      </c>
      <c r="I35" s="53" t="s">
        <v>38</v>
      </c>
      <c r="J35" s="53" t="s">
        <v>62</v>
      </c>
      <c r="K35" s="53" t="s">
        <v>63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>
      <c r="A36" s="53" t="s">
        <v>253</v>
      </c>
      <c r="B36" s="97" t="s">
        <v>234</v>
      </c>
      <c r="C36" s="97" t="s">
        <v>237</v>
      </c>
      <c r="D36" s="29" t="s">
        <v>238</v>
      </c>
      <c r="E36" s="20" t="s">
        <v>497</v>
      </c>
      <c r="F36" s="53" t="s">
        <v>498</v>
      </c>
      <c r="G36" s="53" t="s">
        <v>36</v>
      </c>
      <c r="H36" s="53" t="s">
        <v>37</v>
      </c>
      <c r="I36" s="53" t="s">
        <v>38</v>
      </c>
      <c r="J36" s="53" t="s">
        <v>373</v>
      </c>
      <c r="K36" s="53" t="s">
        <v>374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>
      <c r="A37" s="53" t="s">
        <v>231</v>
      </c>
      <c r="B37" s="97" t="s">
        <v>229</v>
      </c>
      <c r="C37" s="97" t="s">
        <v>65</v>
      </c>
      <c r="D37" s="29" t="s">
        <v>66</v>
      </c>
      <c r="E37" s="20" t="s">
        <v>499</v>
      </c>
      <c r="F37" s="53" t="s">
        <v>500</v>
      </c>
      <c r="G37" s="53" t="s">
        <v>36</v>
      </c>
      <c r="H37" s="53" t="s">
        <v>37</v>
      </c>
      <c r="I37" s="53" t="s">
        <v>38</v>
      </c>
      <c r="J37" s="53" t="s">
        <v>62</v>
      </c>
      <c r="K37" s="53" t="s">
        <v>414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72">
        <v>43586</v>
      </c>
    </row>
    <row r="6" spans="1:47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7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231</v>
      </c>
      <c r="B10" s="97" t="s">
        <v>221</v>
      </c>
      <c r="C10" s="97" t="s">
        <v>277</v>
      </c>
      <c r="D10" s="29" t="s">
        <v>278</v>
      </c>
      <c r="E10" s="20" t="s">
        <v>501</v>
      </c>
      <c r="F10" s="53" t="s">
        <v>502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231</v>
      </c>
      <c r="B11" s="97" t="s">
        <v>221</v>
      </c>
      <c r="C11" s="97" t="s">
        <v>54</v>
      </c>
      <c r="D11" s="29" t="s">
        <v>88</v>
      </c>
      <c r="E11" s="20" t="s">
        <v>55</v>
      </c>
      <c r="F11" s="53" t="s">
        <v>502</v>
      </c>
      <c r="G11" s="53" t="s">
        <v>36</v>
      </c>
      <c r="H11" s="53" t="s">
        <v>37</v>
      </c>
      <c r="I11" s="53" t="s">
        <v>38</v>
      </c>
      <c r="J11" s="53" t="s">
        <v>62</v>
      </c>
      <c r="K11" s="53" t="s">
        <v>63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>
      <c r="A12" s="53" t="s">
        <v>371</v>
      </c>
      <c r="B12" s="97" t="s">
        <v>273</v>
      </c>
      <c r="C12" s="97" t="s">
        <v>195</v>
      </c>
      <c r="D12" s="29" t="s">
        <v>196</v>
      </c>
      <c r="E12" s="20" t="s">
        <v>197</v>
      </c>
      <c r="F12" s="53" t="s">
        <v>503</v>
      </c>
      <c r="G12" s="53" t="s">
        <v>36</v>
      </c>
      <c r="H12" s="53" t="s">
        <v>37</v>
      </c>
      <c r="I12" s="53" t="s">
        <v>38</v>
      </c>
      <c r="J12" s="53" t="s">
        <v>504</v>
      </c>
      <c r="K12" s="53" t="s">
        <v>505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>
      <c r="A13" s="53" t="s">
        <v>371</v>
      </c>
      <c r="B13" s="97" t="s">
        <v>273</v>
      </c>
      <c r="C13" s="97" t="s">
        <v>201</v>
      </c>
      <c r="D13" s="29" t="s">
        <v>202</v>
      </c>
      <c r="E13" s="20" t="s">
        <v>348</v>
      </c>
      <c r="F13" s="53" t="s">
        <v>503</v>
      </c>
      <c r="G13" s="53" t="s">
        <v>36</v>
      </c>
      <c r="H13" s="53" t="s">
        <v>37</v>
      </c>
      <c r="I13" s="53" t="s">
        <v>38</v>
      </c>
      <c r="J13" s="53" t="s">
        <v>504</v>
      </c>
      <c r="K13" s="53" t="s">
        <v>505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>
      <c r="A14" s="53" t="s">
        <v>371</v>
      </c>
      <c r="B14" s="97" t="s">
        <v>396</v>
      </c>
      <c r="C14" s="97" t="s">
        <v>152</v>
      </c>
      <c r="D14" s="56" t="s">
        <v>153</v>
      </c>
      <c r="E14" s="66" t="s">
        <v>506</v>
      </c>
      <c r="F14" s="53" t="s">
        <v>507</v>
      </c>
      <c r="G14" s="53" t="s">
        <v>36</v>
      </c>
      <c r="H14" s="53" t="s">
        <v>37</v>
      </c>
      <c r="I14" s="53" t="s">
        <v>38</v>
      </c>
      <c r="J14" s="53" t="s">
        <v>373</v>
      </c>
      <c r="K14" s="53" t="s">
        <v>374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/>
      <c r="B15" s="97" t="s">
        <v>215</v>
      </c>
      <c r="C15" s="97" t="s">
        <v>58</v>
      </c>
      <c r="D15" s="56" t="s">
        <v>59</v>
      </c>
      <c r="E15" s="20" t="s">
        <v>428</v>
      </c>
      <c r="F15" s="53" t="s">
        <v>508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53" t="s">
        <v>253</v>
      </c>
      <c r="B16" s="53" t="s">
        <v>253</v>
      </c>
      <c r="C16" s="97" t="s">
        <v>320</v>
      </c>
      <c r="D16" s="56" t="s">
        <v>321</v>
      </c>
      <c r="E16" s="20" t="s">
        <v>343</v>
      </c>
      <c r="F16" s="53" t="s">
        <v>509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53" t="s">
        <v>371</v>
      </c>
      <c r="B17" s="97" t="s">
        <v>371</v>
      </c>
      <c r="C17" s="97" t="s">
        <v>137</v>
      </c>
      <c r="D17" s="29" t="s">
        <v>138</v>
      </c>
      <c r="E17" s="20" t="s">
        <v>343</v>
      </c>
      <c r="F17" s="53" t="s">
        <v>509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53" t="s">
        <v>371</v>
      </c>
      <c r="B18" s="97" t="s">
        <v>371</v>
      </c>
      <c r="C18" s="97" t="s">
        <v>79</v>
      </c>
      <c r="D18" s="29" t="s">
        <v>77</v>
      </c>
      <c r="E18" s="20" t="s">
        <v>80</v>
      </c>
      <c r="F18" s="53" t="s">
        <v>509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231</v>
      </c>
      <c r="B19" s="97" t="s">
        <v>221</v>
      </c>
      <c r="C19" s="97" t="s">
        <v>54</v>
      </c>
      <c r="D19" s="29" t="s">
        <v>88</v>
      </c>
      <c r="E19" s="20" t="s">
        <v>55</v>
      </c>
      <c r="F19" s="53" t="s">
        <v>509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253</v>
      </c>
      <c r="B20" s="53" t="s">
        <v>253</v>
      </c>
      <c r="C20" s="97" t="s">
        <v>486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>
      <c r="A21" s="53" t="s">
        <v>371</v>
      </c>
      <c r="B21" s="97" t="s">
        <v>240</v>
      </c>
      <c r="C21" s="97" t="s">
        <v>140</v>
      </c>
      <c r="D21" s="29" t="s">
        <v>141</v>
      </c>
      <c r="E21" s="20" t="s">
        <v>411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>
      <c r="A22" s="53" t="s">
        <v>253</v>
      </c>
      <c r="B22" s="53" t="s">
        <v>253</v>
      </c>
      <c r="C22" s="97" t="s">
        <v>486</v>
      </c>
      <c r="D22" s="29" t="s">
        <v>107</v>
      </c>
      <c r="E22" s="66" t="s">
        <v>50</v>
      </c>
      <c r="F22" s="53" t="s">
        <v>510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>
      <c r="A23" s="53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230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>
      <c r="A24" s="53" t="s">
        <v>253</v>
      </c>
      <c r="B24" s="97" t="s">
        <v>288</v>
      </c>
      <c r="C24" s="97" t="s">
        <v>112</v>
      </c>
      <c r="D24" s="29" t="s">
        <v>113</v>
      </c>
      <c r="E24" s="20" t="s">
        <v>332</v>
      </c>
      <c r="F24" s="53" t="s">
        <v>511</v>
      </c>
      <c r="G24" s="53" t="s">
        <v>36</v>
      </c>
      <c r="H24" s="53" t="s">
        <v>37</v>
      </c>
      <c r="I24" s="53" t="s">
        <v>38</v>
      </c>
      <c r="J24" s="53" t="s">
        <v>62</v>
      </c>
      <c r="K24" s="53" t="s">
        <v>63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>
      <c r="A25" s="53"/>
      <c r="B25" s="97"/>
      <c r="C25" s="97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>
      <c r="A26" s="53"/>
      <c r="B26" s="97"/>
      <c r="C26" s="97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>
      <c r="A27" s="53"/>
      <c r="B27" s="97"/>
      <c r="C27" s="97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>
      <c r="A28" s="53"/>
      <c r="B28" s="97"/>
      <c r="C28" s="97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>
      <c r="A29" s="53"/>
      <c r="B29" s="97"/>
      <c r="C29" s="97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>
      <c r="A30" s="53"/>
      <c r="B30" s="97"/>
      <c r="C30" s="97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>
      <c r="A31" s="53"/>
      <c r="B31" s="97"/>
      <c r="C31" s="97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>
      <c r="A32" s="53"/>
      <c r="B32" s="97"/>
      <c r="C32" s="97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72">
        <v>43586</v>
      </c>
    </row>
    <row r="6" spans="1:47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7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>
      <c r="A10" s="97" t="s">
        <v>512</v>
      </c>
      <c r="B10" s="97" t="s">
        <v>259</v>
      </c>
      <c r="C10" s="76" t="s">
        <v>383</v>
      </c>
      <c r="D10" s="29" t="s">
        <v>384</v>
      </c>
      <c r="E10" s="20" t="s">
        <v>513</v>
      </c>
      <c r="F10" s="53" t="s">
        <v>514</v>
      </c>
      <c r="G10" s="53" t="s">
        <v>36</v>
      </c>
      <c r="H10" s="53" t="s">
        <v>37</v>
      </c>
      <c r="I10" s="53" t="s">
        <v>38</v>
      </c>
      <c r="J10" s="53" t="s">
        <v>39</v>
      </c>
      <c r="K10" s="53" t="s">
        <v>40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>
      <c r="A11" s="97" t="s">
        <v>512</v>
      </c>
      <c r="B11" s="97" t="s">
        <v>259</v>
      </c>
      <c r="C11" s="97" t="s">
        <v>433</v>
      </c>
      <c r="D11" s="29" t="s">
        <v>434</v>
      </c>
      <c r="E11" s="20" t="s">
        <v>515</v>
      </c>
      <c r="F11" s="53" t="s">
        <v>514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97" t="s">
        <v>512</v>
      </c>
      <c r="B12" s="97" t="s">
        <v>512</v>
      </c>
      <c r="C12" s="76" t="s">
        <v>320</v>
      </c>
      <c r="D12" s="56" t="s">
        <v>321</v>
      </c>
      <c r="E12" s="20" t="s">
        <v>343</v>
      </c>
      <c r="F12" s="53" t="s">
        <v>514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>
      <c r="A13" s="97" t="s">
        <v>512</v>
      </c>
      <c r="B13" s="97" t="s">
        <v>288</v>
      </c>
      <c r="C13" s="98" t="s">
        <v>516</v>
      </c>
      <c r="D13" s="29" t="s">
        <v>517</v>
      </c>
      <c r="E13" s="20" t="s">
        <v>518</v>
      </c>
      <c r="F13" s="53" t="s">
        <v>519</v>
      </c>
      <c r="G13" s="53" t="s">
        <v>36</v>
      </c>
      <c r="H13" s="53" t="s">
        <v>37</v>
      </c>
      <c r="I13" s="53" t="s">
        <v>38</v>
      </c>
      <c r="J13" s="53" t="s">
        <v>109</v>
      </c>
      <c r="K13" s="53" t="s">
        <v>110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97" t="s">
        <v>512</v>
      </c>
      <c r="B14" s="97" t="s">
        <v>520</v>
      </c>
      <c r="C14" s="97" t="s">
        <v>521</v>
      </c>
      <c r="D14" s="56" t="s">
        <v>522</v>
      </c>
      <c r="E14" s="66" t="s">
        <v>523</v>
      </c>
      <c r="F14" s="53" t="s">
        <v>519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>
      <c r="A15" s="97" t="s">
        <v>371</v>
      </c>
      <c r="B15" s="97" t="s">
        <v>371</v>
      </c>
      <c r="C15" s="97" t="s">
        <v>79</v>
      </c>
      <c r="D15" s="29" t="s">
        <v>107</v>
      </c>
      <c r="E15" s="20" t="s">
        <v>80</v>
      </c>
      <c r="F15" s="53" t="s">
        <v>514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97" t="s">
        <v>371</v>
      </c>
      <c r="B16" s="97" t="s">
        <v>396</v>
      </c>
      <c r="C16" s="97" t="s">
        <v>267</v>
      </c>
      <c r="D16" s="29" t="s">
        <v>145</v>
      </c>
      <c r="E16" s="20" t="s">
        <v>399</v>
      </c>
      <c r="F16" s="53" t="s">
        <v>268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97" t="s">
        <v>231</v>
      </c>
      <c r="B17" s="97" t="s">
        <v>221</v>
      </c>
      <c r="C17" s="97" t="s">
        <v>54</v>
      </c>
      <c r="D17" s="29" t="s">
        <v>88</v>
      </c>
      <c r="E17" s="20" t="s">
        <v>55</v>
      </c>
      <c r="F17" s="53" t="s">
        <v>514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97" t="s">
        <v>253</v>
      </c>
      <c r="B18" s="97" t="s">
        <v>253</v>
      </c>
      <c r="C18" s="97" t="s">
        <v>486</v>
      </c>
      <c r="D18" s="56" t="s">
        <v>107</v>
      </c>
      <c r="E18" s="66" t="s">
        <v>50</v>
      </c>
      <c r="F18" s="53" t="s">
        <v>514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>
      <c r="A19" s="97" t="s">
        <v>231</v>
      </c>
      <c r="B19" s="97" t="s">
        <v>462</v>
      </c>
      <c r="C19" s="97" t="s">
        <v>158</v>
      </c>
      <c r="D19" s="29" t="s">
        <v>159</v>
      </c>
      <c r="E19" s="20" t="s">
        <v>160</v>
      </c>
      <c r="F19" s="53" t="s">
        <v>268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>
      <c r="A20" s="97" t="s">
        <v>512</v>
      </c>
      <c r="B20" s="97" t="s">
        <v>512</v>
      </c>
      <c r="C20" s="98" t="s">
        <v>524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>
      <c r="A21" s="97" t="s">
        <v>512</v>
      </c>
      <c r="B21" s="97" t="s">
        <v>512</v>
      </c>
      <c r="C21" s="97" t="s">
        <v>525</v>
      </c>
      <c r="D21" s="56" t="s">
        <v>321</v>
      </c>
      <c r="E21" s="20" t="s">
        <v>343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>
      <c r="A22" s="97" t="s">
        <v>371</v>
      </c>
      <c r="B22" s="97" t="s">
        <v>371</v>
      </c>
      <c r="C22" s="97" t="s">
        <v>137</v>
      </c>
      <c r="D22" s="29" t="s">
        <v>138</v>
      </c>
      <c r="E22" s="20" t="s">
        <v>343</v>
      </c>
      <c r="F22" s="53" t="s">
        <v>509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>
      <c r="A23" s="97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509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>
      <c r="A24" s="97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509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>
      <c r="A25" s="97" t="s">
        <v>512</v>
      </c>
      <c r="B25" s="97" t="s">
        <v>288</v>
      </c>
      <c r="C25" s="97" t="s">
        <v>526</v>
      </c>
      <c r="D25" s="29" t="s">
        <v>527</v>
      </c>
      <c r="E25" s="20" t="s">
        <v>164</v>
      </c>
      <c r="F25" s="53" t="s">
        <v>528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>
      <c r="A26" s="97" t="s">
        <v>512</v>
      </c>
      <c r="B26" s="97" t="s">
        <v>212</v>
      </c>
      <c r="C26" s="97" t="s">
        <v>404</v>
      </c>
      <c r="D26" s="29" t="s">
        <v>405</v>
      </c>
      <c r="E26" s="20" t="s">
        <v>406</v>
      </c>
      <c r="F26" s="53" t="s">
        <v>528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>
      <c r="A27" s="97" t="s">
        <v>512</v>
      </c>
      <c r="B27" s="97" t="s">
        <v>288</v>
      </c>
      <c r="C27" s="97" t="s">
        <v>529</v>
      </c>
      <c r="D27" s="29" t="s">
        <v>530</v>
      </c>
      <c r="E27" s="20" t="s">
        <v>531</v>
      </c>
      <c r="F27" s="53" t="s">
        <v>528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>
      <c r="A28" s="97" t="s">
        <v>231</v>
      </c>
      <c r="B28" s="97" t="s">
        <v>229</v>
      </c>
      <c r="C28" s="97" t="s">
        <v>246</v>
      </c>
      <c r="D28" s="56" t="s">
        <v>247</v>
      </c>
      <c r="E28" s="20" t="s">
        <v>341</v>
      </c>
      <c r="F28" s="53" t="s">
        <v>532</v>
      </c>
      <c r="G28" s="53" t="s">
        <v>36</v>
      </c>
      <c r="H28" s="53" t="s">
        <v>37</v>
      </c>
      <c r="I28" s="53" t="s">
        <v>38</v>
      </c>
      <c r="J28" s="53" t="s">
        <v>62</v>
      </c>
      <c r="K28" s="53" t="s">
        <v>63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>
      <c r="A29" s="97" t="s">
        <v>512</v>
      </c>
      <c r="B29" s="97" t="s">
        <v>212</v>
      </c>
      <c r="C29" s="97" t="s">
        <v>100</v>
      </c>
      <c r="D29" s="29" t="s">
        <v>101</v>
      </c>
      <c r="E29" s="20" t="s">
        <v>102</v>
      </c>
      <c r="F29" s="53" t="s">
        <v>533</v>
      </c>
      <c r="G29" s="53" t="s">
        <v>36</v>
      </c>
      <c r="H29" s="53" t="s">
        <v>37</v>
      </c>
      <c r="I29" s="53" t="s">
        <v>38</v>
      </c>
      <c r="J29" s="53" t="s">
        <v>62</v>
      </c>
      <c r="K29" s="53" t="s">
        <v>414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>
      <c r="A30" s="97" t="s">
        <v>371</v>
      </c>
      <c r="B30" s="97" t="s">
        <v>240</v>
      </c>
      <c r="C30" s="97" t="s">
        <v>448</v>
      </c>
      <c r="D30" s="56" t="s">
        <v>460</v>
      </c>
      <c r="E30" s="20" t="s">
        <v>60</v>
      </c>
      <c r="F30" s="53" t="s">
        <v>534</v>
      </c>
      <c r="G30" s="53" t="s">
        <v>36</v>
      </c>
      <c r="H30" s="53" t="s">
        <v>37</v>
      </c>
      <c r="I30" s="53" t="s">
        <v>38</v>
      </c>
      <c r="J30" s="53" t="s">
        <v>39</v>
      </c>
      <c r="K30" s="53" t="s">
        <v>40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>
      <c r="A31" s="97" t="s">
        <v>512</v>
      </c>
      <c r="B31" s="97" t="s">
        <v>288</v>
      </c>
      <c r="C31" s="97" t="s">
        <v>289</v>
      </c>
      <c r="D31" s="29" t="s">
        <v>290</v>
      </c>
      <c r="E31" s="20" t="s">
        <v>535</v>
      </c>
      <c r="F31" s="53" t="s">
        <v>528</v>
      </c>
      <c r="G31" s="53" t="s">
        <v>36</v>
      </c>
      <c r="H31" s="53" t="s">
        <v>37</v>
      </c>
      <c r="I31" s="53" t="s">
        <v>38</v>
      </c>
      <c r="J31" s="53" t="s">
        <v>62</v>
      </c>
      <c r="K31" s="53" t="s">
        <v>63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>
      <c r="A32" s="97" t="s">
        <v>512</v>
      </c>
      <c r="B32" s="97" t="s">
        <v>288</v>
      </c>
      <c r="C32" s="97" t="s">
        <v>378</v>
      </c>
      <c r="D32" s="29" t="s">
        <v>379</v>
      </c>
      <c r="E32" s="20" t="s">
        <v>380</v>
      </c>
      <c r="F32" s="53" t="s">
        <v>536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72">
        <v>43586</v>
      </c>
    </row>
    <row r="6" spans="1:46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6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231</v>
      </c>
      <c r="B10" s="97" t="s">
        <v>221</v>
      </c>
      <c r="C10" s="78" t="s">
        <v>54</v>
      </c>
      <c r="D10" s="29" t="s">
        <v>88</v>
      </c>
      <c r="E10" s="20" t="s">
        <v>55</v>
      </c>
      <c r="F10" s="53" t="s">
        <v>537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512</v>
      </c>
      <c r="B11" s="97" t="s">
        <v>212</v>
      </c>
      <c r="C11" s="97" t="s">
        <v>41</v>
      </c>
      <c r="D11" s="29" t="s">
        <v>171</v>
      </c>
      <c r="E11" s="20" t="s">
        <v>42</v>
      </c>
      <c r="F11" s="53" t="s">
        <v>538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512</v>
      </c>
      <c r="B12" s="97" t="s">
        <v>212</v>
      </c>
      <c r="C12" s="76" t="s">
        <v>387</v>
      </c>
      <c r="D12" s="56" t="s">
        <v>388</v>
      </c>
      <c r="E12" s="20" t="s">
        <v>34</v>
      </c>
      <c r="F12" s="53" t="s">
        <v>538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512</v>
      </c>
      <c r="B13" s="97" t="s">
        <v>212</v>
      </c>
      <c r="C13" s="98" t="s">
        <v>539</v>
      </c>
      <c r="D13" s="29" t="s">
        <v>540</v>
      </c>
      <c r="E13" s="20" t="s">
        <v>541</v>
      </c>
      <c r="F13" s="53" t="s">
        <v>538</v>
      </c>
      <c r="G13" s="53" t="s">
        <v>36</v>
      </c>
      <c r="H13" s="53" t="s">
        <v>37</v>
      </c>
      <c r="I13" s="53" t="s">
        <v>38</v>
      </c>
      <c r="J13" s="53" t="s">
        <v>37</v>
      </c>
      <c r="K13" s="53" t="s">
        <v>391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512</v>
      </c>
      <c r="B14" s="97" t="s">
        <v>512</v>
      </c>
      <c r="C14" s="97" t="s">
        <v>486</v>
      </c>
      <c r="D14" s="56" t="s">
        <v>107</v>
      </c>
      <c r="E14" s="66" t="s">
        <v>50</v>
      </c>
      <c r="F14" s="53" t="s">
        <v>108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>
      <c r="A15" s="97" t="s">
        <v>371</v>
      </c>
      <c r="B15" s="97" t="s">
        <v>273</v>
      </c>
      <c r="C15" s="97" t="s">
        <v>201</v>
      </c>
      <c r="D15" s="29" t="s">
        <v>202</v>
      </c>
      <c r="E15" s="20" t="s">
        <v>348</v>
      </c>
      <c r="F15" s="53" t="s">
        <v>542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371</v>
      </c>
      <c r="B16" s="97" t="s">
        <v>273</v>
      </c>
      <c r="C16" s="97" t="s">
        <v>195</v>
      </c>
      <c r="D16" s="29" t="s">
        <v>145</v>
      </c>
      <c r="E16" s="20" t="s">
        <v>399</v>
      </c>
      <c r="F16" s="53" t="s">
        <v>542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>
      <c r="A17" s="97" t="s">
        <v>253</v>
      </c>
      <c r="B17" s="97" t="s">
        <v>253</v>
      </c>
      <c r="C17" s="97" t="s">
        <v>486</v>
      </c>
      <c r="D17" s="56" t="s">
        <v>107</v>
      </c>
      <c r="E17" s="66" t="s">
        <v>50</v>
      </c>
      <c r="F17" s="53" t="s">
        <v>543</v>
      </c>
      <c r="G17" s="53" t="s">
        <v>36</v>
      </c>
      <c r="H17" s="53" t="s">
        <v>37</v>
      </c>
      <c r="I17" s="53" t="s">
        <v>38</v>
      </c>
      <c r="J17" s="53" t="s">
        <v>37</v>
      </c>
      <c r="K17" s="53" t="s">
        <v>391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>
      <c r="A18" s="97" t="s">
        <v>253</v>
      </c>
      <c r="B18" s="97" t="s">
        <v>253</v>
      </c>
      <c r="C18" s="97" t="s">
        <v>320</v>
      </c>
      <c r="D18" s="56" t="s">
        <v>321</v>
      </c>
      <c r="E18" s="20" t="s">
        <v>343</v>
      </c>
      <c r="F18" s="53" t="s">
        <v>543</v>
      </c>
      <c r="G18" s="53" t="s">
        <v>36</v>
      </c>
      <c r="H18" s="53" t="s">
        <v>37</v>
      </c>
      <c r="I18" s="53" t="s">
        <v>38</v>
      </c>
      <c r="J18" s="53" t="s">
        <v>37</v>
      </c>
      <c r="K18" s="53" t="s">
        <v>391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>
      <c r="A19" s="97" t="s">
        <v>231</v>
      </c>
      <c r="B19" s="97" t="s">
        <v>544</v>
      </c>
      <c r="C19" s="97" t="s">
        <v>545</v>
      </c>
      <c r="D19" s="29" t="s">
        <v>546</v>
      </c>
      <c r="E19" s="20" t="s">
        <v>547</v>
      </c>
      <c r="F19" s="53" t="s">
        <v>543</v>
      </c>
      <c r="G19" s="53" t="s">
        <v>36</v>
      </c>
      <c r="H19" s="53" t="s">
        <v>37</v>
      </c>
      <c r="I19" s="53" t="s">
        <v>38</v>
      </c>
      <c r="J19" s="53" t="s">
        <v>37</v>
      </c>
      <c r="K19" s="53" t="s">
        <v>391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>
      <c r="A20" s="97" t="s">
        <v>371</v>
      </c>
      <c r="B20" s="97" t="s">
        <v>371</v>
      </c>
      <c r="C20" s="98" t="s">
        <v>79</v>
      </c>
      <c r="D20" s="29" t="s">
        <v>107</v>
      </c>
      <c r="E20" s="20" t="s">
        <v>80</v>
      </c>
      <c r="F20" s="53" t="s">
        <v>548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>
      <c r="A21" s="97" t="s">
        <v>371</v>
      </c>
      <c r="B21" s="97" t="s">
        <v>371</v>
      </c>
      <c r="C21" s="97" t="s">
        <v>137</v>
      </c>
      <c r="D21" s="29" t="s">
        <v>141</v>
      </c>
      <c r="E21" s="20" t="s">
        <v>411</v>
      </c>
      <c r="F21" s="53" t="s">
        <v>548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>
      <c r="A22" s="97" t="s">
        <v>512</v>
      </c>
      <c r="B22" s="97" t="s">
        <v>512</v>
      </c>
      <c r="C22" s="97" t="s">
        <v>486</v>
      </c>
      <c r="D22" s="56" t="s">
        <v>107</v>
      </c>
      <c r="E22" s="66" t="s">
        <v>50</v>
      </c>
      <c r="F22" s="53" t="s">
        <v>548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>
      <c r="A23" s="97" t="s">
        <v>512</v>
      </c>
      <c r="B23" s="97" t="s">
        <v>253</v>
      </c>
      <c r="C23" s="97" t="s">
        <v>320</v>
      </c>
      <c r="D23" s="56" t="s">
        <v>321</v>
      </c>
      <c r="E23" s="20" t="s">
        <v>343</v>
      </c>
      <c r="F23" s="53" t="s">
        <v>548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>
      <c r="A24" s="97" t="s">
        <v>231</v>
      </c>
      <c r="B24" s="97" t="s">
        <v>221</v>
      </c>
      <c r="C24" s="97" t="s">
        <v>54</v>
      </c>
      <c r="D24" s="29" t="s">
        <v>88</v>
      </c>
      <c r="E24" s="20" t="s">
        <v>55</v>
      </c>
      <c r="F24" s="53" t="s">
        <v>357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>
      <c r="A25" s="97" t="s">
        <v>512</v>
      </c>
      <c r="B25" s="97" t="s">
        <v>253</v>
      </c>
      <c r="C25" s="97" t="s">
        <v>486</v>
      </c>
      <c r="D25" s="56" t="s">
        <v>107</v>
      </c>
      <c r="E25" s="66" t="s">
        <v>50</v>
      </c>
      <c r="F25" s="53" t="s">
        <v>357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>
      <c r="A26" s="97" t="s">
        <v>371</v>
      </c>
      <c r="B26" s="97" t="s">
        <v>273</v>
      </c>
      <c r="C26" s="97" t="s">
        <v>549</v>
      </c>
      <c r="D26" s="29" t="s">
        <v>550</v>
      </c>
      <c r="E26" s="20" t="s">
        <v>348</v>
      </c>
      <c r="F26" s="53" t="s">
        <v>551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>
      <c r="A27" s="97" t="s">
        <v>512</v>
      </c>
      <c r="B27" s="97" t="s">
        <v>253</v>
      </c>
      <c r="C27" s="97" t="s">
        <v>486</v>
      </c>
      <c r="D27" s="56" t="s">
        <v>107</v>
      </c>
      <c r="E27" s="66" t="s">
        <v>50</v>
      </c>
      <c r="F27" s="53" t="s">
        <v>552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72">
        <v>43586</v>
      </c>
    </row>
    <row r="6" spans="1:46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6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>
      <c r="A10" s="97" t="s">
        <v>371</v>
      </c>
      <c r="B10" s="97" t="s">
        <v>273</v>
      </c>
      <c r="C10" s="78" t="s">
        <v>282</v>
      </c>
      <c r="D10" s="29" t="s">
        <v>553</v>
      </c>
      <c r="E10" s="20" t="s">
        <v>348</v>
      </c>
      <c r="F10" s="53" t="s">
        <v>554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>
      <c r="A11" s="97" t="s">
        <v>371</v>
      </c>
      <c r="B11" s="97" t="s">
        <v>226</v>
      </c>
      <c r="C11" s="97" t="s">
        <v>206</v>
      </c>
      <c r="D11" s="29" t="s">
        <v>207</v>
      </c>
      <c r="E11" s="20" t="s">
        <v>208</v>
      </c>
      <c r="F11" s="53" t="s">
        <v>357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231</v>
      </c>
      <c r="B12" s="97" t="s">
        <v>221</v>
      </c>
      <c r="C12" s="76" t="s">
        <v>54</v>
      </c>
      <c r="D12" s="29" t="s">
        <v>88</v>
      </c>
      <c r="E12" s="20" t="s">
        <v>55</v>
      </c>
      <c r="F12" s="53" t="s">
        <v>357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98" t="s">
        <v>486</v>
      </c>
      <c r="D13" s="56" t="s">
        <v>107</v>
      </c>
      <c r="E13" s="66" t="s">
        <v>50</v>
      </c>
      <c r="F13" s="53" t="s">
        <v>555</v>
      </c>
      <c r="G13" s="53" t="s">
        <v>36</v>
      </c>
      <c r="H13" s="53" t="s">
        <v>37</v>
      </c>
      <c r="I13" s="53" t="s">
        <v>38</v>
      </c>
      <c r="J13" s="53" t="s">
        <v>409</v>
      </c>
      <c r="K13" s="53" t="s">
        <v>410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253</v>
      </c>
      <c r="B14" s="97" t="s">
        <v>259</v>
      </c>
      <c r="C14" s="97" t="s">
        <v>320</v>
      </c>
      <c r="D14" s="56" t="s">
        <v>321</v>
      </c>
      <c r="E14" s="20" t="s">
        <v>343</v>
      </c>
      <c r="F14" s="53" t="s">
        <v>555</v>
      </c>
      <c r="G14" s="53" t="s">
        <v>36</v>
      </c>
      <c r="H14" s="53" t="s">
        <v>37</v>
      </c>
      <c r="I14" s="53" t="s">
        <v>38</v>
      </c>
      <c r="J14" s="53" t="s">
        <v>409</v>
      </c>
      <c r="K14" s="53" t="s">
        <v>410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>
      <c r="A15" s="97" t="s">
        <v>253</v>
      </c>
      <c r="B15" s="97" t="s">
        <v>288</v>
      </c>
      <c r="C15" s="97" t="s">
        <v>375</v>
      </c>
      <c r="D15" s="29" t="s">
        <v>376</v>
      </c>
      <c r="E15" s="20" t="s">
        <v>98</v>
      </c>
      <c r="F15" s="53" t="s">
        <v>556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253</v>
      </c>
      <c r="B16" s="97" t="s">
        <v>212</v>
      </c>
      <c r="C16" s="97" t="s">
        <v>100</v>
      </c>
      <c r="D16" s="29" t="s">
        <v>101</v>
      </c>
      <c r="E16" s="20" t="s">
        <v>102</v>
      </c>
      <c r="F16" s="53" t="s">
        <v>557</v>
      </c>
      <c r="G16" s="53" t="s">
        <v>36</v>
      </c>
      <c r="H16" s="53" t="s">
        <v>37</v>
      </c>
      <c r="I16" s="53" t="s">
        <v>38</v>
      </c>
      <c r="J16" s="53" t="s">
        <v>62</v>
      </c>
      <c r="K16" s="53" t="s">
        <v>414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72">
        <v>43586</v>
      </c>
    </row>
    <row r="6" spans="1:46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6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253</v>
      </c>
      <c r="B10" s="97" t="s">
        <v>212</v>
      </c>
      <c r="C10" s="78" t="s">
        <v>100</v>
      </c>
      <c r="D10" s="29" t="s">
        <v>101</v>
      </c>
      <c r="E10" s="20" t="s">
        <v>102</v>
      </c>
      <c r="F10" s="53" t="s">
        <v>558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414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253</v>
      </c>
      <c r="B11" s="97" t="s">
        <v>259</v>
      </c>
      <c r="C11" s="97" t="s">
        <v>383</v>
      </c>
      <c r="D11" s="29" t="s">
        <v>384</v>
      </c>
      <c r="E11" s="20" t="s">
        <v>385</v>
      </c>
      <c r="F11" s="53" t="s">
        <v>559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253</v>
      </c>
      <c r="B12" s="97" t="s">
        <v>253</v>
      </c>
      <c r="C12" s="76" t="s">
        <v>320</v>
      </c>
      <c r="D12" s="56" t="s">
        <v>321</v>
      </c>
      <c r="E12" s="20" t="s">
        <v>343</v>
      </c>
      <c r="F12" s="53" t="s">
        <v>559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98" t="s">
        <v>486</v>
      </c>
      <c r="D13" s="56" t="s">
        <v>107</v>
      </c>
      <c r="E13" s="66" t="s">
        <v>50</v>
      </c>
      <c r="F13" s="53" t="s">
        <v>560</v>
      </c>
      <c r="G13" s="53" t="s">
        <v>36</v>
      </c>
      <c r="H13" s="53" t="s">
        <v>37</v>
      </c>
      <c r="I13" s="53" t="s">
        <v>38</v>
      </c>
      <c r="J13" s="53" t="s">
        <v>39</v>
      </c>
      <c r="K13" s="53" t="s">
        <v>40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 t="s">
        <v>228</v>
      </c>
      <c r="B5" s="97" t="s">
        <v>228</v>
      </c>
      <c r="C5" s="97" t="s">
        <v>561</v>
      </c>
      <c r="D5" s="29"/>
      <c r="E5" s="20" t="s">
        <v>562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210</v>
      </c>
      <c r="K5" s="53" t="s">
        <v>211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>
      <c r="A6" s="97" t="s">
        <v>228</v>
      </c>
      <c r="B6" s="97" t="s">
        <v>450</v>
      </c>
      <c r="C6" s="97" t="s">
        <v>564</v>
      </c>
      <c r="D6" s="29"/>
      <c r="E6" s="20" t="s">
        <v>565</v>
      </c>
      <c r="F6" s="53" t="s">
        <v>563</v>
      </c>
      <c r="G6" s="53" t="s">
        <v>36</v>
      </c>
      <c r="H6" s="53" t="s">
        <v>37</v>
      </c>
      <c r="I6" s="53" t="s">
        <v>38</v>
      </c>
      <c r="J6" s="53" t="s">
        <v>210</v>
      </c>
      <c r="K6" s="53" t="s">
        <v>211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>
      <c r="A7" s="97" t="s">
        <v>228</v>
      </c>
      <c r="B7" s="97" t="s">
        <v>566</v>
      </c>
      <c r="C7" s="97" t="s">
        <v>54</v>
      </c>
      <c r="D7" s="29" t="s">
        <v>88</v>
      </c>
      <c r="E7" s="20" t="s">
        <v>55</v>
      </c>
      <c r="F7" s="53" t="s">
        <v>563</v>
      </c>
      <c r="G7" s="53" t="s">
        <v>36</v>
      </c>
      <c r="H7" s="53" t="s">
        <v>37</v>
      </c>
      <c r="I7" s="53" t="s">
        <v>38</v>
      </c>
      <c r="J7" s="53" t="s">
        <v>210</v>
      </c>
      <c r="K7" s="53" t="s">
        <v>211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77</v>
      </c>
    </row>
    <row r="8" spans="1:24" ht="25.5">
      <c r="A8" s="97" t="s">
        <v>228</v>
      </c>
      <c r="B8" s="97" t="s">
        <v>566</v>
      </c>
      <c r="C8" s="97" t="s">
        <v>54</v>
      </c>
      <c r="D8" s="29" t="s">
        <v>88</v>
      </c>
      <c r="E8" s="20" t="s">
        <v>55</v>
      </c>
      <c r="F8" s="53" t="s">
        <v>567</v>
      </c>
      <c r="G8" s="53" t="s">
        <v>36</v>
      </c>
      <c r="H8" s="53" t="s">
        <v>37</v>
      </c>
      <c r="I8" s="53" t="s">
        <v>38</v>
      </c>
      <c r="J8" s="53" t="s">
        <v>62</v>
      </c>
      <c r="K8" s="53" t="s">
        <v>63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77</v>
      </c>
    </row>
    <row r="9" spans="1:24" ht="38.25">
      <c r="A9" s="178" t="s">
        <v>233</v>
      </c>
      <c r="B9" s="178" t="s">
        <v>233</v>
      </c>
      <c r="C9" s="178" t="s">
        <v>568</v>
      </c>
      <c r="D9" s="80"/>
      <c r="E9" s="81" t="s">
        <v>50</v>
      </c>
      <c r="F9" s="53" t="s">
        <v>563</v>
      </c>
      <c r="G9" s="79" t="s">
        <v>36</v>
      </c>
      <c r="H9" s="79" t="s">
        <v>37</v>
      </c>
      <c r="I9" s="79" t="s">
        <v>38</v>
      </c>
      <c r="J9" s="79" t="s">
        <v>210</v>
      </c>
      <c r="K9" s="79" t="s">
        <v>211</v>
      </c>
      <c r="L9" s="82">
        <v>43872</v>
      </c>
      <c r="M9" s="82">
        <v>43875</v>
      </c>
      <c r="N9" s="179">
        <f t="shared" si="0"/>
        <v>778.26</v>
      </c>
      <c r="O9" s="179">
        <f t="shared" si="1"/>
        <v>778.26</v>
      </c>
      <c r="P9" s="179">
        <v>1556.52</v>
      </c>
      <c r="Q9" s="178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178"/>
    </row>
    <row r="10" spans="1:24" ht="38.25">
      <c r="A10" s="178" t="s">
        <v>233</v>
      </c>
      <c r="B10" s="178" t="s">
        <v>233</v>
      </c>
      <c r="C10" s="178" t="s">
        <v>568</v>
      </c>
      <c r="D10" s="80"/>
      <c r="E10" s="81" t="s">
        <v>50</v>
      </c>
      <c r="F10" s="77" t="s">
        <v>569</v>
      </c>
      <c r="G10" s="79" t="s">
        <v>36</v>
      </c>
      <c r="H10" s="79" t="s">
        <v>37</v>
      </c>
      <c r="I10" s="79" t="s">
        <v>38</v>
      </c>
      <c r="J10" s="79" t="s">
        <v>39</v>
      </c>
      <c r="K10" s="79" t="s">
        <v>570</v>
      </c>
      <c r="L10" s="82">
        <v>43878</v>
      </c>
      <c r="M10" s="82">
        <v>43879</v>
      </c>
      <c r="N10" s="179">
        <f t="shared" si="0"/>
        <v>912.6</v>
      </c>
      <c r="O10" s="179">
        <f t="shared" si="1"/>
        <v>912.6</v>
      </c>
      <c r="P10" s="179">
        <v>1825.2</v>
      </c>
      <c r="Q10" s="77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7"/>
    </row>
    <row r="11" spans="1:24" ht="25.5">
      <c r="A11" s="178" t="s">
        <v>233</v>
      </c>
      <c r="B11" s="178" t="s">
        <v>233</v>
      </c>
      <c r="C11" s="178" t="s">
        <v>571</v>
      </c>
      <c r="D11" s="56" t="s">
        <v>321</v>
      </c>
      <c r="E11" s="20" t="s">
        <v>343</v>
      </c>
      <c r="F11" s="77" t="s">
        <v>569</v>
      </c>
      <c r="G11" s="79" t="s">
        <v>36</v>
      </c>
      <c r="H11" s="79" t="s">
        <v>37</v>
      </c>
      <c r="I11" s="79" t="s">
        <v>38</v>
      </c>
      <c r="J11" s="79" t="s">
        <v>39</v>
      </c>
      <c r="K11" s="79" t="s">
        <v>570</v>
      </c>
      <c r="L11" s="82">
        <v>43878</v>
      </c>
      <c r="M11" s="82">
        <v>43879</v>
      </c>
      <c r="N11" s="179">
        <f t="shared" si="0"/>
        <v>860.1</v>
      </c>
      <c r="O11" s="179">
        <f t="shared" si="1"/>
        <v>860.1</v>
      </c>
      <c r="P11" s="179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77</v>
      </c>
    </row>
    <row r="12" spans="1:24" ht="25.5">
      <c r="A12" s="97" t="s">
        <v>371</v>
      </c>
      <c r="B12" s="97" t="s">
        <v>371</v>
      </c>
      <c r="C12" s="97" t="s">
        <v>137</v>
      </c>
      <c r="D12" s="29" t="s">
        <v>141</v>
      </c>
      <c r="E12" s="20" t="s">
        <v>343</v>
      </c>
      <c r="F12" s="77" t="s">
        <v>569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570</v>
      </c>
      <c r="L12" s="69">
        <v>43878</v>
      </c>
      <c r="M12" s="69">
        <v>43879</v>
      </c>
      <c r="N12" s="180">
        <f t="shared" si="0"/>
        <v>690.43499999999995</v>
      </c>
      <c r="O12" s="180">
        <f t="shared" si="1"/>
        <v>690.43499999999995</v>
      </c>
      <c r="P12" s="180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77</v>
      </c>
    </row>
    <row r="18" spans="3:17">
      <c r="Q18" s="83"/>
    </row>
    <row r="19" spans="3:17">
      <c r="Q19" s="83"/>
    </row>
    <row r="20" spans="3:17">
      <c r="Q20" s="83"/>
    </row>
    <row r="21" spans="3:17">
      <c r="Q21" s="83"/>
    </row>
    <row r="23" spans="3:17" ht="25.5">
      <c r="C23" s="29"/>
      <c r="D23" s="20" t="s">
        <v>562</v>
      </c>
    </row>
    <row r="24" spans="3:17" ht="51">
      <c r="C24" s="80"/>
      <c r="D24" s="81" t="s">
        <v>50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42979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5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25.5">
      <c r="A5" s="97" t="s">
        <v>228</v>
      </c>
      <c r="B5" s="97" t="s">
        <v>566</v>
      </c>
      <c r="C5" s="97" t="s">
        <v>54</v>
      </c>
      <c r="D5" s="29" t="s">
        <v>88</v>
      </c>
      <c r="E5" s="20" t="s">
        <v>55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39</v>
      </c>
      <c r="K5" s="53" t="s">
        <v>40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77</v>
      </c>
    </row>
    <row r="6" spans="1:24" ht="38.25">
      <c r="A6" s="178" t="s">
        <v>233</v>
      </c>
      <c r="B6" s="178" t="s">
        <v>233</v>
      </c>
      <c r="C6" s="178" t="s">
        <v>568</v>
      </c>
      <c r="D6" s="80"/>
      <c r="E6" s="81" t="s">
        <v>50</v>
      </c>
      <c r="F6" s="53" t="s">
        <v>563</v>
      </c>
      <c r="G6" s="79" t="s">
        <v>36</v>
      </c>
      <c r="H6" s="79" t="s">
        <v>37</v>
      </c>
      <c r="I6" s="79" t="s">
        <v>38</v>
      </c>
      <c r="J6" s="53" t="s">
        <v>39</v>
      </c>
      <c r="K6" s="53" t="s">
        <v>40</v>
      </c>
      <c r="L6" s="82">
        <v>43902</v>
      </c>
      <c r="M6" s="82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178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178"/>
    </row>
    <row r="7" spans="1:24" ht="38.25">
      <c r="A7" s="97" t="s">
        <v>253</v>
      </c>
      <c r="B7" s="97" t="s">
        <v>212</v>
      </c>
      <c r="C7" s="97" t="s">
        <v>100</v>
      </c>
      <c r="D7" s="29" t="s">
        <v>101</v>
      </c>
      <c r="E7" s="20" t="s">
        <v>102</v>
      </c>
      <c r="F7" s="53" t="s">
        <v>558</v>
      </c>
      <c r="G7" s="53" t="s">
        <v>36</v>
      </c>
      <c r="H7" s="53" t="s">
        <v>37</v>
      </c>
      <c r="I7" s="53" t="s">
        <v>38</v>
      </c>
      <c r="J7" s="53" t="s">
        <v>62</v>
      </c>
      <c r="K7" s="53" t="s">
        <v>414</v>
      </c>
      <c r="L7" s="69">
        <v>43892</v>
      </c>
      <c r="M7" s="69">
        <v>43895</v>
      </c>
      <c r="N7" s="180">
        <f>2026.59/2</f>
        <v>1013.295</v>
      </c>
      <c r="O7" s="180">
        <f>2026.59/2</f>
        <v>1013.295</v>
      </c>
      <c r="P7" s="70">
        <f t="shared" si="0"/>
        <v>2026.59</v>
      </c>
      <c r="Q7" s="8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7"/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8"/>
      <c r="B9" s="178"/>
      <c r="C9" s="178"/>
      <c r="D9" s="80"/>
      <c r="E9" s="81"/>
      <c r="F9" s="53"/>
      <c r="G9" s="79"/>
      <c r="H9" s="79"/>
      <c r="I9" s="79"/>
      <c r="J9" s="79"/>
      <c r="K9" s="79"/>
      <c r="L9" s="82"/>
      <c r="M9" s="82"/>
      <c r="N9" s="179"/>
      <c r="O9" s="179"/>
      <c r="P9" s="179"/>
      <c r="Q9" s="178"/>
      <c r="R9" s="70"/>
      <c r="S9" s="53"/>
      <c r="T9" s="70"/>
      <c r="U9" s="70"/>
      <c r="V9" s="70"/>
      <c r="W9" s="70"/>
      <c r="X9" s="178"/>
    </row>
    <row r="10" spans="1:24" ht="15">
      <c r="A10" s="178"/>
      <c r="B10" s="178"/>
      <c r="C10" s="178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9"/>
      <c r="O10" s="179"/>
      <c r="P10" s="179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8"/>
      <c r="B11" s="178"/>
      <c r="C11" s="178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9"/>
      <c r="O11" s="179"/>
      <c r="P11" s="179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80"/>
      <c r="O12" s="180"/>
      <c r="P12" s="180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8"/>
      <c r="B9" s="178"/>
      <c r="C9" s="178"/>
      <c r="D9" s="80"/>
      <c r="E9" s="81"/>
      <c r="F9" s="53"/>
      <c r="G9" s="79"/>
      <c r="H9" s="79"/>
      <c r="I9" s="79"/>
      <c r="J9" s="79"/>
      <c r="K9" s="79"/>
      <c r="L9" s="82"/>
      <c r="M9" s="82"/>
      <c r="N9" s="179"/>
      <c r="O9" s="179"/>
      <c r="P9" s="179"/>
      <c r="Q9" s="178"/>
      <c r="R9" s="70"/>
      <c r="S9" s="53"/>
      <c r="T9" s="70"/>
      <c r="U9" s="70"/>
      <c r="V9" s="70"/>
      <c r="W9" s="70"/>
      <c r="X9" s="178"/>
    </row>
    <row r="10" spans="1:24" ht="15">
      <c r="A10" s="178"/>
      <c r="B10" s="178"/>
      <c r="C10" s="178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9"/>
      <c r="O10" s="179"/>
      <c r="P10" s="179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8"/>
      <c r="B11" s="178"/>
      <c r="C11" s="178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9"/>
      <c r="O11" s="179"/>
      <c r="P11" s="179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80"/>
      <c r="O12" s="180"/>
      <c r="P12" s="180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8"/>
      <c r="B9" s="178"/>
      <c r="C9" s="178"/>
      <c r="D9" s="80"/>
      <c r="E9" s="81"/>
      <c r="F9" s="53"/>
      <c r="G9" s="79"/>
      <c r="H9" s="79"/>
      <c r="I9" s="79"/>
      <c r="J9" s="79"/>
      <c r="K9" s="79"/>
      <c r="L9" s="82"/>
      <c r="M9" s="82"/>
      <c r="N9" s="179"/>
      <c r="O9" s="179"/>
      <c r="P9" s="179"/>
      <c r="Q9" s="178"/>
      <c r="R9" s="70"/>
      <c r="S9" s="53"/>
      <c r="T9" s="70"/>
      <c r="U9" s="70"/>
      <c r="V9" s="70"/>
      <c r="W9" s="70"/>
      <c r="X9" s="178"/>
    </row>
    <row r="10" spans="1:24" ht="15">
      <c r="A10" s="178"/>
      <c r="B10" s="178"/>
      <c r="C10" s="178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9"/>
      <c r="O10" s="179"/>
      <c r="P10" s="179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8"/>
      <c r="B11" s="178"/>
      <c r="C11" s="178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9"/>
      <c r="O11" s="179"/>
      <c r="P11" s="179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80"/>
      <c r="O12" s="180"/>
      <c r="P12" s="180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8"/>
      <c r="B9" s="178"/>
      <c r="C9" s="178"/>
      <c r="D9" s="80"/>
      <c r="E9" s="81"/>
      <c r="F9" s="53"/>
      <c r="G9" s="79"/>
      <c r="H9" s="79"/>
      <c r="I9" s="79"/>
      <c r="J9" s="79"/>
      <c r="K9" s="79"/>
      <c r="L9" s="82"/>
      <c r="M9" s="82"/>
      <c r="N9" s="179"/>
      <c r="O9" s="179"/>
      <c r="P9" s="179"/>
      <c r="Q9" s="178"/>
      <c r="R9" s="70"/>
      <c r="S9" s="53"/>
      <c r="T9" s="70"/>
      <c r="U9" s="70"/>
      <c r="V9" s="70"/>
      <c r="W9" s="70"/>
      <c r="X9" s="178"/>
    </row>
    <row r="10" spans="1:24" ht="15">
      <c r="A10" s="178"/>
      <c r="B10" s="178"/>
      <c r="C10" s="178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9"/>
      <c r="O10" s="179"/>
      <c r="P10" s="179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8"/>
      <c r="B11" s="178"/>
      <c r="C11" s="178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9"/>
      <c r="O11" s="179"/>
      <c r="P11" s="179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80"/>
      <c r="O12" s="180"/>
      <c r="P12" s="180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8"/>
      <c r="B9" s="178"/>
      <c r="C9" s="178"/>
      <c r="D9" s="80"/>
      <c r="E9" s="81"/>
      <c r="F9" s="53"/>
      <c r="G9" s="79"/>
      <c r="H9" s="79"/>
      <c r="I9" s="79"/>
      <c r="J9" s="79"/>
      <c r="K9" s="79"/>
      <c r="L9" s="82"/>
      <c r="M9" s="82"/>
      <c r="N9" s="179"/>
      <c r="O9" s="179"/>
      <c r="P9" s="179"/>
      <c r="Q9" s="178"/>
      <c r="R9" s="70"/>
      <c r="S9" s="53"/>
      <c r="T9" s="70"/>
      <c r="U9" s="70"/>
      <c r="V9" s="70"/>
      <c r="W9" s="70"/>
      <c r="X9" s="178"/>
    </row>
    <row r="10" spans="1:24" ht="15">
      <c r="A10" s="178"/>
      <c r="B10" s="178"/>
      <c r="C10" s="178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9"/>
      <c r="O10" s="179"/>
      <c r="P10" s="179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8"/>
      <c r="B11" s="178"/>
      <c r="C11" s="178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9"/>
      <c r="O11" s="179"/>
      <c r="P11" s="179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80"/>
      <c r="O12" s="180"/>
      <c r="P12" s="180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8"/>
      <c r="B9" s="178"/>
      <c r="C9" s="178"/>
      <c r="D9" s="80"/>
      <c r="E9" s="81"/>
      <c r="F9" s="53"/>
      <c r="G9" s="79"/>
      <c r="H9" s="79"/>
      <c r="I9" s="79"/>
      <c r="J9" s="79"/>
      <c r="K9" s="79"/>
      <c r="L9" s="82"/>
      <c r="M9" s="82"/>
      <c r="N9" s="179"/>
      <c r="O9" s="179"/>
      <c r="P9" s="179"/>
      <c r="Q9" s="178"/>
      <c r="R9" s="70"/>
      <c r="S9" s="53"/>
      <c r="T9" s="70"/>
      <c r="U9" s="70"/>
      <c r="V9" s="70"/>
      <c r="W9" s="70"/>
      <c r="X9" s="178"/>
    </row>
    <row r="10" spans="1:24" ht="15">
      <c r="A10" s="178"/>
      <c r="B10" s="178"/>
      <c r="C10" s="178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9"/>
      <c r="O10" s="179"/>
      <c r="P10" s="179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8"/>
      <c r="B11" s="178"/>
      <c r="C11" s="178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9"/>
      <c r="O11" s="179"/>
      <c r="P11" s="179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80"/>
      <c r="O12" s="180"/>
      <c r="P12" s="180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51">
      <c r="A5" s="97" t="s">
        <v>371</v>
      </c>
      <c r="B5" s="97" t="s">
        <v>396</v>
      </c>
      <c r="C5" s="97" t="s">
        <v>267</v>
      </c>
      <c r="D5" s="29" t="s">
        <v>572</v>
      </c>
      <c r="E5" s="20" t="s">
        <v>157</v>
      </c>
      <c r="F5" s="53" t="s">
        <v>573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>
      <c r="A6" s="97" t="s">
        <v>253</v>
      </c>
      <c r="B6" s="97" t="s">
        <v>259</v>
      </c>
      <c r="C6" s="97" t="s">
        <v>320</v>
      </c>
      <c r="D6" s="56" t="s">
        <v>321</v>
      </c>
      <c r="E6" s="20" t="s">
        <v>343</v>
      </c>
      <c r="F6" s="53" t="s">
        <v>574</v>
      </c>
      <c r="G6" s="53" t="s">
        <v>36</v>
      </c>
      <c r="H6" s="53" t="s">
        <v>37</v>
      </c>
      <c r="I6" s="53" t="s">
        <v>38</v>
      </c>
      <c r="J6" s="53" t="s">
        <v>37</v>
      </c>
      <c r="K6" s="53" t="s">
        <v>391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25.5">
      <c r="A5" s="97" t="s">
        <v>253</v>
      </c>
      <c r="B5" s="97" t="s">
        <v>212</v>
      </c>
      <c r="C5" s="97" t="s">
        <v>539</v>
      </c>
      <c r="D5" s="56" t="s">
        <v>540</v>
      </c>
      <c r="E5" s="20" t="s">
        <v>541</v>
      </c>
      <c r="F5" s="53" t="s">
        <v>575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43009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77</v>
      </c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234</v>
      </c>
      <c r="C5" s="97" t="s">
        <v>576</v>
      </c>
      <c r="D5" s="97">
        <v>285</v>
      </c>
      <c r="E5" s="97" t="s">
        <v>577</v>
      </c>
      <c r="F5" s="97" t="s">
        <v>578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>
      <c r="A6" s="97" t="s">
        <v>253</v>
      </c>
      <c r="B6" s="97" t="s">
        <v>234</v>
      </c>
      <c r="C6" s="97" t="s">
        <v>579</v>
      </c>
      <c r="D6" s="97">
        <v>218</v>
      </c>
      <c r="E6" s="97" t="s">
        <v>580</v>
      </c>
      <c r="F6" s="97" t="s">
        <v>578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>
      <c r="A7" s="181" t="s">
        <v>253</v>
      </c>
      <c r="B7" s="181" t="s">
        <v>259</v>
      </c>
      <c r="C7" s="181" t="s">
        <v>185</v>
      </c>
      <c r="D7" s="181">
        <v>119</v>
      </c>
      <c r="E7" s="157" t="s">
        <v>581</v>
      </c>
      <c r="F7" s="181" t="s">
        <v>582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583</v>
      </c>
      <c r="L7" s="69">
        <v>44312</v>
      </c>
      <c r="M7" s="69">
        <v>44313</v>
      </c>
      <c r="N7" s="160">
        <v>0</v>
      </c>
      <c r="O7" s="160">
        <v>0</v>
      </c>
      <c r="P7" s="158">
        <f t="shared" si="0"/>
        <v>0</v>
      </c>
      <c r="Q7" s="161">
        <v>5</v>
      </c>
      <c r="R7" s="163">
        <v>120</v>
      </c>
      <c r="S7" s="161">
        <v>0</v>
      </c>
      <c r="T7" s="163">
        <v>0</v>
      </c>
      <c r="U7" s="158">
        <f t="shared" si="1"/>
        <v>600</v>
      </c>
      <c r="V7" s="158">
        <f t="shared" si="2"/>
        <v>600</v>
      </c>
      <c r="W7" s="158">
        <f t="shared" si="3"/>
        <v>600</v>
      </c>
      <c r="X7" s="161"/>
    </row>
    <row r="8" spans="1:24" ht="15">
      <c r="A8" s="182"/>
      <c r="B8" s="182"/>
      <c r="C8" s="182"/>
      <c r="D8" s="182"/>
      <c r="E8" s="157"/>
      <c r="F8" s="182"/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44313</v>
      </c>
      <c r="M8" s="69">
        <v>44316</v>
      </c>
      <c r="N8" s="160"/>
      <c r="O8" s="160"/>
      <c r="P8" s="159"/>
      <c r="Q8" s="162"/>
      <c r="R8" s="164"/>
      <c r="S8" s="162"/>
      <c r="T8" s="164"/>
      <c r="U8" s="159"/>
      <c r="V8" s="159"/>
      <c r="W8" s="159"/>
      <c r="X8" s="162"/>
    </row>
    <row r="9" spans="1:24" ht="15">
      <c r="A9" s="181" t="s">
        <v>253</v>
      </c>
      <c r="B9" s="181" t="s">
        <v>212</v>
      </c>
      <c r="C9" s="181" t="s">
        <v>270</v>
      </c>
      <c r="D9" s="181">
        <v>158</v>
      </c>
      <c r="E9" s="157" t="s">
        <v>584</v>
      </c>
      <c r="F9" s="181" t="s">
        <v>585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583</v>
      </c>
      <c r="L9" s="69">
        <v>44312</v>
      </c>
      <c r="M9" s="69">
        <v>44313</v>
      </c>
      <c r="N9" s="160">
        <v>0</v>
      </c>
      <c r="O9" s="160">
        <v>0</v>
      </c>
      <c r="P9" s="158">
        <f t="shared" ref="P9" si="4">SUM(N9:O9)</f>
        <v>0</v>
      </c>
      <c r="Q9" s="161">
        <v>5</v>
      </c>
      <c r="R9" s="163">
        <v>120</v>
      </c>
      <c r="S9" s="161">
        <v>0</v>
      </c>
      <c r="T9" s="163">
        <v>0</v>
      </c>
      <c r="U9" s="158">
        <f t="shared" ref="U9" si="5">(Q9*R9)+(S9*T9)</f>
        <v>600</v>
      </c>
      <c r="V9" s="158">
        <f t="shared" ref="V9" si="6">U9+P9</f>
        <v>600</v>
      </c>
      <c r="W9" s="158">
        <f t="shared" ref="W9" si="7">V9</f>
        <v>600</v>
      </c>
      <c r="X9" s="161"/>
    </row>
    <row r="10" spans="1:24" ht="15">
      <c r="A10" s="182"/>
      <c r="B10" s="182"/>
      <c r="C10" s="182"/>
      <c r="D10" s="182"/>
      <c r="E10" s="157"/>
      <c r="F10" s="182"/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44313</v>
      </c>
      <c r="M10" s="69">
        <v>44316</v>
      </c>
      <c r="N10" s="160"/>
      <c r="O10" s="160"/>
      <c r="P10" s="159"/>
      <c r="Q10" s="162"/>
      <c r="R10" s="164"/>
      <c r="S10" s="162"/>
      <c r="T10" s="164"/>
      <c r="U10" s="159"/>
      <c r="V10" s="159"/>
      <c r="W10" s="159"/>
      <c r="X10" s="162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228</v>
      </c>
      <c r="B5" s="97" t="s">
        <v>229</v>
      </c>
      <c r="C5" s="97" t="s">
        <v>586</v>
      </c>
      <c r="D5" s="97">
        <v>357</v>
      </c>
      <c r="E5" s="97" t="s">
        <v>587</v>
      </c>
      <c r="F5" s="97" t="s">
        <v>588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>
      <c r="A6" s="97" t="s">
        <v>228</v>
      </c>
      <c r="B6" s="97" t="s">
        <v>229</v>
      </c>
      <c r="C6" s="97" t="s">
        <v>71</v>
      </c>
      <c r="D6" s="97">
        <v>303</v>
      </c>
      <c r="E6" s="97" t="s">
        <v>589</v>
      </c>
      <c r="F6" s="97" t="s">
        <v>588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>
      <c r="A7" s="97" t="s">
        <v>228</v>
      </c>
      <c r="B7" s="97" t="s">
        <v>229</v>
      </c>
      <c r="C7" s="97" t="s">
        <v>590</v>
      </c>
      <c r="D7" s="97">
        <v>72</v>
      </c>
      <c r="E7" s="97" t="s">
        <v>591</v>
      </c>
      <c r="F7" s="97" t="s">
        <v>588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>
      <c r="A8" s="97" t="s">
        <v>233</v>
      </c>
      <c r="B8" s="97" t="s">
        <v>259</v>
      </c>
      <c r="C8" s="97" t="s">
        <v>320</v>
      </c>
      <c r="D8" s="97">
        <v>346</v>
      </c>
      <c r="E8" s="97" t="s">
        <v>50</v>
      </c>
      <c r="F8" s="97" t="s">
        <v>592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233</v>
      </c>
      <c r="B5" s="97" t="s">
        <v>212</v>
      </c>
      <c r="C5" s="97" t="s">
        <v>270</v>
      </c>
      <c r="D5" s="97">
        <v>158</v>
      </c>
      <c r="E5" s="97" t="s">
        <v>593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>
      <c r="A6" s="97" t="s">
        <v>233</v>
      </c>
      <c r="B6" s="97" t="s">
        <v>212</v>
      </c>
      <c r="C6" s="97" t="s">
        <v>387</v>
      </c>
      <c r="D6" s="97">
        <v>347</v>
      </c>
      <c r="E6" s="97" t="s">
        <v>34</v>
      </c>
      <c r="F6" s="97" t="s">
        <v>594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>
      <c r="A7" s="97" t="s">
        <v>233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595</v>
      </c>
      <c r="B5" s="97" t="s">
        <v>595</v>
      </c>
      <c r="C5" s="97" t="s">
        <v>412</v>
      </c>
      <c r="D5" s="29"/>
      <c r="E5" s="20" t="s">
        <v>562</v>
      </c>
      <c r="F5" s="97" t="s">
        <v>596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>
      <c r="A6" s="97" t="s">
        <v>253</v>
      </c>
      <c r="B6" s="97" t="s">
        <v>253</v>
      </c>
      <c r="C6" s="97" t="s">
        <v>486</v>
      </c>
      <c r="D6" s="80"/>
      <c r="E6" s="81" t="s">
        <v>50</v>
      </c>
      <c r="F6" s="97" t="s">
        <v>597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>
      <c r="A7" s="97" t="s">
        <v>253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597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>
      <c r="A8" s="97" t="s">
        <v>253</v>
      </c>
      <c r="B8" s="97" t="s">
        <v>212</v>
      </c>
      <c r="C8" s="97" t="s">
        <v>270</v>
      </c>
      <c r="D8" s="97">
        <v>158</v>
      </c>
      <c r="E8" s="97" t="s">
        <v>599</v>
      </c>
      <c r="F8" s="97" t="s">
        <v>597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212</v>
      </c>
      <c r="C5" s="97" t="s">
        <v>270</v>
      </c>
      <c r="D5" s="29" t="s">
        <v>168</v>
      </c>
      <c r="E5" s="97" t="s">
        <v>599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391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>
      <c r="A6" s="97" t="s">
        <v>253</v>
      </c>
      <c r="B6" s="97" t="s">
        <v>212</v>
      </c>
      <c r="C6" s="97" t="s">
        <v>387</v>
      </c>
      <c r="D6" s="80" t="s">
        <v>388</v>
      </c>
      <c r="E6" s="97" t="s">
        <v>34</v>
      </c>
      <c r="F6" s="97" t="s">
        <v>600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>
      <c r="A7" s="97" t="s">
        <v>253</v>
      </c>
      <c r="B7" s="97" t="s">
        <v>322</v>
      </c>
      <c r="C7" s="97" t="s">
        <v>457</v>
      </c>
      <c r="D7" s="80">
        <v>144</v>
      </c>
      <c r="E7" s="97" t="s">
        <v>114</v>
      </c>
      <c r="F7" s="97" t="s">
        <v>601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>
      <c r="A8" s="97" t="s">
        <v>253</v>
      </c>
      <c r="B8" s="97" t="s">
        <v>322</v>
      </c>
      <c r="C8" s="97" t="s">
        <v>350</v>
      </c>
      <c r="D8" s="80" t="s">
        <v>351</v>
      </c>
      <c r="E8" s="97" t="s">
        <v>114</v>
      </c>
      <c r="F8" s="97" t="s">
        <v>602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>
      <c r="A9" s="97" t="s">
        <v>253</v>
      </c>
      <c r="B9" s="97" t="s">
        <v>322</v>
      </c>
      <c r="C9" s="97" t="s">
        <v>92</v>
      </c>
      <c r="D9" s="56" t="s">
        <v>93</v>
      </c>
      <c r="E9" s="97" t="s">
        <v>603</v>
      </c>
      <c r="F9" s="97" t="s">
        <v>602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77" t="s">
        <v>253</v>
      </c>
      <c r="B5" s="77" t="s">
        <v>253</v>
      </c>
      <c r="C5" s="77" t="s">
        <v>320</v>
      </c>
      <c r="D5" s="77">
        <v>346</v>
      </c>
      <c r="E5" s="77" t="s">
        <v>50</v>
      </c>
      <c r="F5" s="77" t="s">
        <v>604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>
      <c r="A6" s="77" t="s">
        <v>253</v>
      </c>
      <c r="B6" s="77" t="s">
        <v>212</v>
      </c>
      <c r="C6" s="77" t="s">
        <v>387</v>
      </c>
      <c r="D6" s="77" t="s">
        <v>388</v>
      </c>
      <c r="E6" s="77" t="s">
        <v>34</v>
      </c>
      <c r="F6" s="77" t="s">
        <v>605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77" t="s">
        <v>599</v>
      </c>
      <c r="F7" s="77" t="s">
        <v>606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>
      <c r="A8" s="77" t="s">
        <v>253</v>
      </c>
      <c r="B8" s="77" t="s">
        <v>288</v>
      </c>
      <c r="C8" s="77" t="s">
        <v>237</v>
      </c>
      <c r="D8" s="85">
        <v>82</v>
      </c>
      <c r="E8" s="77" t="s">
        <v>84</v>
      </c>
      <c r="F8" s="77" t="s">
        <v>607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>
      <c r="Q9" s="83"/>
    </row>
    <row r="10" spans="1:24">
      <c r="Q10" s="83"/>
    </row>
    <row r="11" spans="1:24">
      <c r="Q11" s="83"/>
    </row>
    <row r="12" spans="1:24">
      <c r="Q12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77" t="s">
        <v>595</v>
      </c>
      <c r="B5" s="77" t="s">
        <v>544</v>
      </c>
      <c r="C5" s="77" t="s">
        <v>545</v>
      </c>
      <c r="D5" s="80">
        <v>353</v>
      </c>
      <c r="E5" s="97" t="s">
        <v>547</v>
      </c>
      <c r="F5" s="97" t="s">
        <v>608</v>
      </c>
      <c r="G5" s="97" t="s">
        <v>36</v>
      </c>
      <c r="H5" s="97" t="s">
        <v>37</v>
      </c>
      <c r="I5" s="97" t="s">
        <v>38</v>
      </c>
      <c r="J5" s="97" t="s">
        <v>598</v>
      </c>
      <c r="K5" s="97" t="s">
        <v>391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>
      <c r="A6" s="77" t="s">
        <v>595</v>
      </c>
      <c r="B6" s="77" t="s">
        <v>366</v>
      </c>
      <c r="C6" s="77" t="s">
        <v>367</v>
      </c>
      <c r="D6" s="80">
        <v>23</v>
      </c>
      <c r="E6" s="97" t="s">
        <v>609</v>
      </c>
      <c r="F6" s="97" t="s">
        <v>608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>
      <c r="A7" s="77" t="s">
        <v>595</v>
      </c>
      <c r="B7" s="77" t="s">
        <v>221</v>
      </c>
      <c r="C7" s="77" t="s">
        <v>54</v>
      </c>
      <c r="D7" s="80">
        <v>56</v>
      </c>
      <c r="E7" s="97" t="s">
        <v>610</v>
      </c>
      <c r="F7" s="97" t="s">
        <v>608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>
      <c r="A8" s="77" t="s">
        <v>595</v>
      </c>
      <c r="B8" s="77" t="s">
        <v>221</v>
      </c>
      <c r="C8" s="77" t="s">
        <v>277</v>
      </c>
      <c r="D8" s="80">
        <v>157</v>
      </c>
      <c r="E8" s="97" t="s">
        <v>501</v>
      </c>
      <c r="F8" s="97" t="s">
        <v>608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>
      <c r="A9" s="77" t="s">
        <v>595</v>
      </c>
      <c r="B9" s="77" t="s">
        <v>595</v>
      </c>
      <c r="C9" s="77" t="s">
        <v>412</v>
      </c>
      <c r="D9" s="86">
        <v>0</v>
      </c>
      <c r="E9" s="97" t="s">
        <v>562</v>
      </c>
      <c r="F9" s="97" t="s">
        <v>608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>
      <c r="A10" s="77" t="s">
        <v>371</v>
      </c>
      <c r="B10" s="77" t="s">
        <v>371</v>
      </c>
      <c r="C10" s="77" t="s">
        <v>137</v>
      </c>
      <c r="D10" s="80">
        <v>202</v>
      </c>
      <c r="E10" s="97" t="s">
        <v>78</v>
      </c>
      <c r="F10" s="97" t="s">
        <v>608</v>
      </c>
      <c r="G10" s="97" t="s">
        <v>36</v>
      </c>
      <c r="H10" s="97" t="s">
        <v>37</v>
      </c>
      <c r="I10" s="97" t="s">
        <v>38</v>
      </c>
      <c r="J10" s="97" t="s">
        <v>598</v>
      </c>
      <c r="K10" s="97" t="s">
        <v>391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>
      <c r="A11" s="77" t="s">
        <v>253</v>
      </c>
      <c r="B11" s="77" t="s">
        <v>259</v>
      </c>
      <c r="C11" s="77" t="s">
        <v>433</v>
      </c>
      <c r="D11" s="80">
        <v>264</v>
      </c>
      <c r="E11" s="97" t="s">
        <v>611</v>
      </c>
      <c r="F11" s="97" t="s">
        <v>608</v>
      </c>
      <c r="G11" s="97" t="s">
        <v>36</v>
      </c>
      <c r="H11" s="97" t="s">
        <v>37</v>
      </c>
      <c r="I11" s="97" t="s">
        <v>38</v>
      </c>
      <c r="J11" s="97" t="s">
        <v>598</v>
      </c>
      <c r="K11" s="97" t="s">
        <v>391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>
      <c r="A12" s="77" t="s">
        <v>253</v>
      </c>
      <c r="B12" s="77" t="s">
        <v>253</v>
      </c>
      <c r="C12" s="77" t="s">
        <v>486</v>
      </c>
      <c r="D12" s="86">
        <v>0</v>
      </c>
      <c r="E12" s="97" t="s">
        <v>50</v>
      </c>
      <c r="F12" s="97" t="s">
        <v>608</v>
      </c>
      <c r="G12" s="97" t="s">
        <v>36</v>
      </c>
      <c r="H12" s="97" t="s">
        <v>37</v>
      </c>
      <c r="I12" s="97" t="s">
        <v>38</v>
      </c>
      <c r="J12" s="97" t="s">
        <v>598</v>
      </c>
      <c r="K12" s="97" t="s">
        <v>391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>
      <c r="A13" s="77" t="s">
        <v>253</v>
      </c>
      <c r="B13" s="77" t="s">
        <v>212</v>
      </c>
      <c r="C13" s="77" t="s">
        <v>387</v>
      </c>
      <c r="D13" s="86">
        <v>347</v>
      </c>
      <c r="E13" s="97" t="s">
        <v>34</v>
      </c>
      <c r="F13" s="97" t="s">
        <v>608</v>
      </c>
      <c r="G13" s="97" t="s">
        <v>36</v>
      </c>
      <c r="H13" s="97" t="s">
        <v>37</v>
      </c>
      <c r="I13" s="97" t="s">
        <v>38</v>
      </c>
      <c r="J13" s="97" t="s">
        <v>598</v>
      </c>
      <c r="K13" s="97" t="s">
        <v>391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>
      <c r="A14" s="77" t="s">
        <v>253</v>
      </c>
      <c r="B14" s="77" t="s">
        <v>253</v>
      </c>
      <c r="C14" s="77" t="s">
        <v>320</v>
      </c>
      <c r="D14" s="80">
        <v>346</v>
      </c>
      <c r="E14" s="97" t="s">
        <v>78</v>
      </c>
      <c r="F14" s="97" t="s">
        <v>608</v>
      </c>
      <c r="G14" s="97" t="s">
        <v>36</v>
      </c>
      <c r="H14" s="97" t="s">
        <v>37</v>
      </c>
      <c r="I14" s="97" t="s">
        <v>38</v>
      </c>
      <c r="J14" s="97" t="s">
        <v>598</v>
      </c>
      <c r="K14" s="97" t="s">
        <v>391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>
      <c r="A15" s="77" t="s">
        <v>253</v>
      </c>
      <c r="B15" s="77" t="s">
        <v>288</v>
      </c>
      <c r="C15" s="77" t="s">
        <v>237</v>
      </c>
      <c r="D15" s="80">
        <v>82</v>
      </c>
      <c r="E15" s="97" t="s">
        <v>84</v>
      </c>
      <c r="F15" s="97" t="s">
        <v>608</v>
      </c>
      <c r="G15" s="97" t="s">
        <v>36</v>
      </c>
      <c r="H15" s="97" t="s">
        <v>37</v>
      </c>
      <c r="I15" s="97" t="s">
        <v>38</v>
      </c>
      <c r="J15" s="97" t="s">
        <v>598</v>
      </c>
      <c r="K15" s="97" t="s">
        <v>391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>
      <c r="A16" s="77" t="s">
        <v>371</v>
      </c>
      <c r="B16" s="77" t="s">
        <v>371</v>
      </c>
      <c r="C16" s="77" t="s">
        <v>79</v>
      </c>
      <c r="D16" s="86">
        <v>0</v>
      </c>
      <c r="E16" s="97" t="s">
        <v>80</v>
      </c>
      <c r="F16" s="97" t="s">
        <v>608</v>
      </c>
      <c r="G16" s="97" t="s">
        <v>36</v>
      </c>
      <c r="H16" s="97" t="s">
        <v>37</v>
      </c>
      <c r="I16" s="97" t="s">
        <v>38</v>
      </c>
      <c r="J16" s="97" t="s">
        <v>598</v>
      </c>
      <c r="K16" s="97" t="s">
        <v>391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>
      <c r="A17" s="77" t="s">
        <v>595</v>
      </c>
      <c r="B17" s="77" t="s">
        <v>305</v>
      </c>
      <c r="C17" s="77" t="s">
        <v>612</v>
      </c>
      <c r="D17" s="86">
        <v>355</v>
      </c>
      <c r="E17" s="97" t="s">
        <v>308</v>
      </c>
      <c r="F17" s="97" t="s">
        <v>608</v>
      </c>
      <c r="G17" s="97" t="s">
        <v>36</v>
      </c>
      <c r="H17" s="97" t="s">
        <v>37</v>
      </c>
      <c r="I17" s="97" t="s">
        <v>38</v>
      </c>
      <c r="J17" s="97" t="s">
        <v>598</v>
      </c>
      <c r="K17" s="97" t="s">
        <v>391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>
      <c r="A18" s="77" t="s">
        <v>253</v>
      </c>
      <c r="B18" s="77" t="s">
        <v>259</v>
      </c>
      <c r="C18" s="77" t="s">
        <v>613</v>
      </c>
      <c r="D18" s="86">
        <v>372</v>
      </c>
      <c r="E18" s="97" t="s">
        <v>614</v>
      </c>
      <c r="F18" s="97" t="s">
        <v>608</v>
      </c>
      <c r="G18" s="97" t="s">
        <v>36</v>
      </c>
      <c r="H18" s="97" t="s">
        <v>37</v>
      </c>
      <c r="I18" s="97" t="s">
        <v>38</v>
      </c>
      <c r="J18" s="97" t="s">
        <v>598</v>
      </c>
      <c r="K18" s="97" t="s">
        <v>391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>
      <c r="A19" s="77" t="s">
        <v>253</v>
      </c>
      <c r="B19" s="77" t="s">
        <v>259</v>
      </c>
      <c r="C19" s="77" t="s">
        <v>383</v>
      </c>
      <c r="D19" s="86">
        <v>64</v>
      </c>
      <c r="E19" s="97" t="s">
        <v>265</v>
      </c>
      <c r="F19" s="97" t="s">
        <v>608</v>
      </c>
      <c r="G19" s="97" t="s">
        <v>36</v>
      </c>
      <c r="H19" s="97" t="s">
        <v>37</v>
      </c>
      <c r="I19" s="97" t="s">
        <v>38</v>
      </c>
      <c r="J19" s="97" t="s">
        <v>598</v>
      </c>
      <c r="K19" s="97" t="s">
        <v>391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>
      <c r="A20" s="77" t="s">
        <v>595</v>
      </c>
      <c r="B20" s="77" t="s">
        <v>305</v>
      </c>
      <c r="C20" s="77" t="s">
        <v>615</v>
      </c>
      <c r="D20" s="86">
        <v>366</v>
      </c>
      <c r="E20" s="97" t="s">
        <v>616</v>
      </c>
      <c r="F20" s="97" t="s">
        <v>608</v>
      </c>
      <c r="G20" s="97" t="s">
        <v>36</v>
      </c>
      <c r="H20" s="97" t="s">
        <v>37</v>
      </c>
      <c r="I20" s="97" t="s">
        <v>38</v>
      </c>
      <c r="J20" s="97" t="s">
        <v>598</v>
      </c>
      <c r="K20" s="97" t="s">
        <v>391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>
      <c r="A21" s="77" t="s">
        <v>253</v>
      </c>
      <c r="B21" s="77" t="s">
        <v>212</v>
      </c>
      <c r="C21" s="77" t="s">
        <v>387</v>
      </c>
      <c r="D21" s="86">
        <v>347</v>
      </c>
      <c r="E21" s="97" t="s">
        <v>34</v>
      </c>
      <c r="F21" s="97" t="s">
        <v>605</v>
      </c>
      <c r="G21" s="97" t="s">
        <v>36</v>
      </c>
      <c r="H21" s="97" t="s">
        <v>37</v>
      </c>
      <c r="I21" s="97" t="s">
        <v>38</v>
      </c>
      <c r="J21" s="97" t="s">
        <v>598</v>
      </c>
      <c r="K21" s="97" t="s">
        <v>391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>
      <c r="A22" s="77" t="s">
        <v>371</v>
      </c>
      <c r="B22" s="77" t="s">
        <v>371</v>
      </c>
      <c r="C22" s="77" t="s">
        <v>617</v>
      </c>
      <c r="D22" s="86">
        <v>57</v>
      </c>
      <c r="E22" s="97" t="s">
        <v>618</v>
      </c>
      <c r="F22" s="97" t="s">
        <v>608</v>
      </c>
      <c r="G22" s="97" t="s">
        <v>36</v>
      </c>
      <c r="H22" s="97" t="s">
        <v>37</v>
      </c>
      <c r="I22" s="97" t="s">
        <v>38</v>
      </c>
      <c r="J22" s="97" t="s">
        <v>598</v>
      </c>
      <c r="K22" s="97" t="s">
        <v>391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>
      <c r="A23" s="77" t="s">
        <v>253</v>
      </c>
      <c r="B23" s="77" t="s">
        <v>288</v>
      </c>
      <c r="C23" s="77" t="s">
        <v>345</v>
      </c>
      <c r="D23" s="86">
        <v>74</v>
      </c>
      <c r="E23" s="97" t="s">
        <v>315</v>
      </c>
      <c r="F23" s="97" t="s">
        <v>619</v>
      </c>
      <c r="G23" s="97" t="s">
        <v>36</v>
      </c>
      <c r="H23" s="97" t="s">
        <v>37</v>
      </c>
      <c r="I23" s="97" t="s">
        <v>38</v>
      </c>
      <c r="J23" s="97" t="s">
        <v>598</v>
      </c>
      <c r="K23" s="97" t="s">
        <v>391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>
      <c r="A24" s="77" t="s">
        <v>253</v>
      </c>
      <c r="B24" s="77" t="s">
        <v>234</v>
      </c>
      <c r="C24" s="77" t="s">
        <v>620</v>
      </c>
      <c r="D24" s="86">
        <v>365</v>
      </c>
      <c r="E24" s="97" t="s">
        <v>239</v>
      </c>
      <c r="F24" s="97" t="s">
        <v>621</v>
      </c>
      <c r="G24" s="97" t="s">
        <v>36</v>
      </c>
      <c r="H24" s="97" t="s">
        <v>37</v>
      </c>
      <c r="I24" s="97" t="s">
        <v>38</v>
      </c>
      <c r="J24" s="97" t="s">
        <v>598</v>
      </c>
      <c r="K24" s="97" t="s">
        <v>391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>
      <c r="A25" s="77" t="s">
        <v>253</v>
      </c>
      <c r="B25" s="77" t="s">
        <v>234</v>
      </c>
      <c r="C25" s="77" t="s">
        <v>622</v>
      </c>
      <c r="D25" s="86">
        <v>314</v>
      </c>
      <c r="E25" s="97" t="s">
        <v>523</v>
      </c>
      <c r="F25" s="97" t="s">
        <v>621</v>
      </c>
      <c r="G25" s="97" t="s">
        <v>36</v>
      </c>
      <c r="H25" s="97" t="s">
        <v>37</v>
      </c>
      <c r="I25" s="97" t="s">
        <v>38</v>
      </c>
      <c r="J25" s="97" t="s">
        <v>598</v>
      </c>
      <c r="K25" s="97" t="s">
        <v>391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>
      <c r="A26" s="77" t="s">
        <v>253</v>
      </c>
      <c r="B26" s="77" t="s">
        <v>288</v>
      </c>
      <c r="C26" s="77" t="s">
        <v>623</v>
      </c>
      <c r="D26" s="86">
        <v>301</v>
      </c>
      <c r="E26" s="97" t="s">
        <v>624</v>
      </c>
      <c r="F26" s="97" t="s">
        <v>608</v>
      </c>
      <c r="G26" s="97" t="s">
        <v>36</v>
      </c>
      <c r="H26" s="97" t="s">
        <v>37</v>
      </c>
      <c r="I26" s="97" t="s">
        <v>38</v>
      </c>
      <c r="J26" s="97" t="s">
        <v>598</v>
      </c>
      <c r="K26" s="97" t="s">
        <v>391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>
      <c r="A27" s="77" t="s">
        <v>253</v>
      </c>
      <c r="B27" s="77" t="s">
        <v>253</v>
      </c>
      <c r="C27" s="77" t="s">
        <v>320</v>
      </c>
      <c r="D27" s="80">
        <v>346</v>
      </c>
      <c r="E27" s="97" t="s">
        <v>78</v>
      </c>
      <c r="F27" s="97" t="s">
        <v>621</v>
      </c>
      <c r="G27" s="97" t="s">
        <v>36</v>
      </c>
      <c r="H27" s="97" t="s">
        <v>37</v>
      </c>
      <c r="I27" s="97" t="s">
        <v>38</v>
      </c>
      <c r="J27" s="97" t="s">
        <v>62</v>
      </c>
      <c r="K27" s="97" t="s">
        <v>63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>
      <c r="A28" s="77" t="s">
        <v>253</v>
      </c>
      <c r="B28" s="77" t="s">
        <v>322</v>
      </c>
      <c r="C28" s="77" t="s">
        <v>456</v>
      </c>
      <c r="D28" s="47">
        <v>300</v>
      </c>
      <c r="E28" s="97" t="s">
        <v>625</v>
      </c>
      <c r="F28" s="97" t="s">
        <v>626</v>
      </c>
      <c r="G28" s="97" t="s">
        <v>36</v>
      </c>
      <c r="H28" s="97" t="s">
        <v>37</v>
      </c>
      <c r="I28" s="97" t="s">
        <v>38</v>
      </c>
      <c r="J28" s="97" t="s">
        <v>598</v>
      </c>
      <c r="K28" s="97" t="s">
        <v>391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43009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77" t="s">
        <v>253</v>
      </c>
      <c r="B5" s="77" t="s">
        <v>259</v>
      </c>
      <c r="C5" s="77" t="s">
        <v>185</v>
      </c>
      <c r="D5" s="80" t="s">
        <v>186</v>
      </c>
      <c r="E5" s="97" t="s">
        <v>385</v>
      </c>
      <c r="F5" s="77" t="s">
        <v>627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628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>
      <c r="A6" s="77" t="s">
        <v>253</v>
      </c>
      <c r="B6" s="77" t="s">
        <v>253</v>
      </c>
      <c r="C6" s="77" t="s">
        <v>320</v>
      </c>
      <c r="D6" s="80" t="s">
        <v>629</v>
      </c>
      <c r="E6" s="97" t="s">
        <v>78</v>
      </c>
      <c r="F6" s="77" t="s">
        <v>630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628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97" t="s">
        <v>599</v>
      </c>
      <c r="F7" s="77" t="s">
        <v>631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>
      <c r="A8" s="77" t="s">
        <v>253</v>
      </c>
      <c r="B8" s="77" t="s">
        <v>212</v>
      </c>
      <c r="C8" s="77" t="s">
        <v>387</v>
      </c>
      <c r="D8" s="86">
        <v>347</v>
      </c>
      <c r="E8" s="97" t="s">
        <v>34</v>
      </c>
      <c r="F8" s="77" t="s">
        <v>632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>
      <c r="A9" s="77" t="s">
        <v>253</v>
      </c>
      <c r="B9" s="77" t="s">
        <v>234</v>
      </c>
      <c r="C9" s="77" t="s">
        <v>576</v>
      </c>
      <c r="D9" s="86">
        <v>285</v>
      </c>
      <c r="E9" s="97" t="s">
        <v>187</v>
      </c>
      <c r="F9" s="77" t="s">
        <v>633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>
      <c r="A10" s="77" t="s">
        <v>253</v>
      </c>
      <c r="B10" s="77" t="s">
        <v>234</v>
      </c>
      <c r="C10" s="77" t="s">
        <v>622</v>
      </c>
      <c r="D10" s="86">
        <v>314</v>
      </c>
      <c r="E10" s="97" t="s">
        <v>523</v>
      </c>
      <c r="F10" s="77" t="s">
        <v>633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>
      <c r="A11" s="77" t="s">
        <v>253</v>
      </c>
      <c r="B11" s="77" t="s">
        <v>234</v>
      </c>
      <c r="C11" s="77" t="s">
        <v>620</v>
      </c>
      <c r="D11" s="47">
        <v>365</v>
      </c>
      <c r="E11" s="97" t="s">
        <v>239</v>
      </c>
      <c r="F11" s="77" t="s">
        <v>633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42.75">
      <c r="A5" s="84" t="s">
        <v>253</v>
      </c>
      <c r="B5" s="84" t="s">
        <v>259</v>
      </c>
      <c r="C5" s="84" t="s">
        <v>185</v>
      </c>
      <c r="D5" s="84">
        <v>119</v>
      </c>
      <c r="E5" s="84" t="s">
        <v>385</v>
      </c>
      <c r="F5" s="87" t="s">
        <v>634</v>
      </c>
      <c r="G5" s="84" t="s">
        <v>36</v>
      </c>
      <c r="H5" s="84" t="s">
        <v>37</v>
      </c>
      <c r="I5" s="84" t="s">
        <v>38</v>
      </c>
      <c r="J5" s="84" t="s">
        <v>598</v>
      </c>
      <c r="K5" s="84" t="s">
        <v>391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>
      <c r="A6" s="84" t="s">
        <v>253</v>
      </c>
      <c r="B6" s="84" t="s">
        <v>259</v>
      </c>
      <c r="C6" s="84" t="s">
        <v>613</v>
      </c>
      <c r="D6" s="84">
        <v>372</v>
      </c>
      <c r="E6" s="84" t="s">
        <v>614</v>
      </c>
      <c r="F6" s="84" t="s">
        <v>635</v>
      </c>
      <c r="G6" s="84" t="s">
        <v>36</v>
      </c>
      <c r="H6" s="84" t="s">
        <v>37</v>
      </c>
      <c r="I6" s="84" t="s">
        <v>38</v>
      </c>
      <c r="J6" s="84" t="s">
        <v>598</v>
      </c>
      <c r="K6" s="84" t="s">
        <v>391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>
      <c r="A7" s="84" t="s">
        <v>253</v>
      </c>
      <c r="B7" s="84" t="s">
        <v>288</v>
      </c>
      <c r="C7" s="84" t="s">
        <v>636</v>
      </c>
      <c r="D7" s="84">
        <v>78</v>
      </c>
      <c r="E7" s="84" t="s">
        <v>98</v>
      </c>
      <c r="F7" s="84" t="s">
        <v>637</v>
      </c>
      <c r="G7" s="84" t="s">
        <v>36</v>
      </c>
      <c r="H7" s="84" t="s">
        <v>37</v>
      </c>
      <c r="I7" s="84" t="s">
        <v>38</v>
      </c>
      <c r="J7" s="84" t="s">
        <v>598</v>
      </c>
      <c r="K7" s="84" t="s">
        <v>391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88"/>
    </row>
    <row r="8" spans="1:24">
      <c r="A8" s="84" t="s">
        <v>253</v>
      </c>
      <c r="B8" s="84" t="s">
        <v>288</v>
      </c>
      <c r="C8" s="84" t="s">
        <v>456</v>
      </c>
      <c r="D8" s="84">
        <v>314</v>
      </c>
      <c r="E8" s="84" t="s">
        <v>523</v>
      </c>
      <c r="F8" s="84" t="s">
        <v>638</v>
      </c>
      <c r="G8" s="84" t="s">
        <v>36</v>
      </c>
      <c r="H8" s="84" t="s">
        <v>37</v>
      </c>
      <c r="I8" s="84" t="s">
        <v>38</v>
      </c>
      <c r="J8" s="84" t="s">
        <v>598</v>
      </c>
      <c r="K8" s="84" t="s">
        <v>391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8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639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640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595</v>
      </c>
      <c r="B5" s="97" t="s">
        <v>595</v>
      </c>
      <c r="C5" s="97" t="s">
        <v>412</v>
      </c>
      <c r="D5" s="47">
        <v>0</v>
      </c>
      <c r="E5" s="97" t="s">
        <v>562</v>
      </c>
      <c r="F5" s="97" t="s">
        <v>357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7" t="s">
        <v>357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>
      <c r="A7" s="97" t="s">
        <v>253</v>
      </c>
      <c r="B7" s="97" t="s">
        <v>288</v>
      </c>
      <c r="C7" s="97" t="s">
        <v>636</v>
      </c>
      <c r="D7" s="47">
        <v>78</v>
      </c>
      <c r="E7" s="97" t="s">
        <v>98</v>
      </c>
      <c r="F7" s="97" t="s">
        <v>641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288</v>
      </c>
      <c r="C5" s="97" t="s">
        <v>642</v>
      </c>
      <c r="D5" s="47">
        <v>252</v>
      </c>
      <c r="E5" s="97" t="s">
        <v>98</v>
      </c>
      <c r="F5" s="97" t="s">
        <v>643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>
      <c r="A6" s="97" t="s">
        <v>371</v>
      </c>
      <c r="B6" s="97" t="s">
        <v>371</v>
      </c>
      <c r="C6" s="97" t="s">
        <v>79</v>
      </c>
      <c r="D6" s="47">
        <v>0</v>
      </c>
      <c r="E6" s="97" t="s">
        <v>80</v>
      </c>
      <c r="F6" s="97" t="s">
        <v>644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261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>
      <c r="A7" s="97" t="s">
        <v>371</v>
      </c>
      <c r="B7" s="97" t="s">
        <v>371</v>
      </c>
      <c r="C7" s="97" t="s">
        <v>617</v>
      </c>
      <c r="D7" s="47">
        <v>57</v>
      </c>
      <c r="E7" s="97" t="s">
        <v>618</v>
      </c>
      <c r="F7" s="97" t="s">
        <v>644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261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>
      <c r="A8" s="97" t="s">
        <v>231</v>
      </c>
      <c r="B8" s="97" t="s">
        <v>366</v>
      </c>
      <c r="C8" s="97" t="s">
        <v>367</v>
      </c>
      <c r="D8" s="47">
        <v>23</v>
      </c>
      <c r="E8" s="97" t="s">
        <v>609</v>
      </c>
      <c r="F8" s="97" t="s">
        <v>644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261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>
      <c r="A9" s="97" t="s">
        <v>231</v>
      </c>
      <c r="B9" s="97" t="s">
        <v>231</v>
      </c>
      <c r="C9" s="97" t="s">
        <v>412</v>
      </c>
      <c r="D9" s="47">
        <v>0</v>
      </c>
      <c r="E9" s="97" t="s">
        <v>562</v>
      </c>
      <c r="F9" s="97" t="s">
        <v>644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>
      <c r="A10" s="97" t="s">
        <v>253</v>
      </c>
      <c r="B10" s="97" t="s">
        <v>259</v>
      </c>
      <c r="C10" s="97" t="s">
        <v>613</v>
      </c>
      <c r="D10" s="47">
        <v>372</v>
      </c>
      <c r="E10" s="97" t="s">
        <v>191</v>
      </c>
      <c r="F10" s="97" t="s">
        <v>644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261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>
      <c r="A11" s="97" t="s">
        <v>231</v>
      </c>
      <c r="B11" s="97" t="s">
        <v>221</v>
      </c>
      <c r="C11" s="97" t="s">
        <v>54</v>
      </c>
      <c r="D11" s="47">
        <v>56</v>
      </c>
      <c r="E11" s="97" t="s">
        <v>610</v>
      </c>
      <c r="F11" s="97" t="s">
        <v>644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261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>
      <c r="A12" s="97" t="s">
        <v>231</v>
      </c>
      <c r="B12" s="97" t="s">
        <v>229</v>
      </c>
      <c r="C12" s="97" t="s">
        <v>71</v>
      </c>
      <c r="D12" s="47">
        <v>303</v>
      </c>
      <c r="E12" s="97" t="s">
        <v>645</v>
      </c>
      <c r="F12" s="97" t="s">
        <v>644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>
      <c r="A13" s="97" t="s">
        <v>231</v>
      </c>
      <c r="B13" s="97" t="s">
        <v>229</v>
      </c>
      <c r="C13" s="97" t="s">
        <v>586</v>
      </c>
      <c r="D13" s="47">
        <v>357</v>
      </c>
      <c r="E13" s="97" t="s">
        <v>248</v>
      </c>
      <c r="F13" s="97" t="s">
        <v>644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261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>
      <c r="A14" s="97" t="s">
        <v>253</v>
      </c>
      <c r="B14" s="97" t="s">
        <v>212</v>
      </c>
      <c r="C14" s="97" t="s">
        <v>404</v>
      </c>
      <c r="D14" s="47">
        <v>345</v>
      </c>
      <c r="E14" s="97" t="s">
        <v>646</v>
      </c>
      <c r="F14" s="97" t="s">
        <v>644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261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>
      <c r="A15" s="97" t="s">
        <v>231</v>
      </c>
      <c r="B15" s="97" t="s">
        <v>229</v>
      </c>
      <c r="C15" s="97" t="s">
        <v>647</v>
      </c>
      <c r="D15" s="47">
        <v>377</v>
      </c>
      <c r="E15" s="97" t="s">
        <v>648</v>
      </c>
      <c r="F15" s="97" t="s">
        <v>644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261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>
      <c r="A16" s="97" t="s">
        <v>231</v>
      </c>
      <c r="B16" s="97" t="s">
        <v>544</v>
      </c>
      <c r="C16" s="97" t="s">
        <v>545</v>
      </c>
      <c r="D16" s="47">
        <v>353</v>
      </c>
      <c r="E16" s="97" t="s">
        <v>547</v>
      </c>
      <c r="F16" s="97" t="s">
        <v>644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261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>
      <c r="A17" s="97" t="s">
        <v>253</v>
      </c>
      <c r="B17" s="97" t="s">
        <v>253</v>
      </c>
      <c r="C17" s="97" t="s">
        <v>320</v>
      </c>
      <c r="D17" s="47" t="s">
        <v>629</v>
      </c>
      <c r="E17" s="97" t="s">
        <v>78</v>
      </c>
      <c r="F17" s="97" t="s">
        <v>644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261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>
      <c r="A18" s="97" t="s">
        <v>253</v>
      </c>
      <c r="B18" s="97" t="s">
        <v>212</v>
      </c>
      <c r="C18" s="97" t="s">
        <v>270</v>
      </c>
      <c r="D18" s="47" t="s">
        <v>168</v>
      </c>
      <c r="E18" s="97" t="s">
        <v>599</v>
      </c>
      <c r="F18" s="97" t="s">
        <v>644</v>
      </c>
      <c r="G18" s="97" t="s">
        <v>36</v>
      </c>
      <c r="H18" s="97" t="s">
        <v>37</v>
      </c>
      <c r="I18" s="97" t="s">
        <v>38</v>
      </c>
      <c r="J18" s="97" t="s">
        <v>37</v>
      </c>
      <c r="K18" s="97" t="s">
        <v>261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>
      <c r="A19" s="97" t="s">
        <v>253</v>
      </c>
      <c r="B19" s="97" t="s">
        <v>212</v>
      </c>
      <c r="C19" s="97" t="s">
        <v>41</v>
      </c>
      <c r="D19" s="47">
        <v>129</v>
      </c>
      <c r="E19" s="97" t="s">
        <v>649</v>
      </c>
      <c r="F19" s="97" t="s">
        <v>644</v>
      </c>
      <c r="G19" s="97" t="s">
        <v>36</v>
      </c>
      <c r="H19" s="97" t="s">
        <v>37</v>
      </c>
      <c r="I19" s="97" t="s">
        <v>38</v>
      </c>
      <c r="J19" s="97" t="s">
        <v>37</v>
      </c>
      <c r="K19" s="97" t="s">
        <v>261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>
      <c r="A20" s="97" t="s">
        <v>371</v>
      </c>
      <c r="B20" s="97" t="s">
        <v>396</v>
      </c>
      <c r="C20" s="97" t="s">
        <v>267</v>
      </c>
      <c r="D20" s="47">
        <v>296</v>
      </c>
      <c r="E20" s="97" t="s">
        <v>650</v>
      </c>
      <c r="F20" s="97" t="s">
        <v>644</v>
      </c>
      <c r="G20" s="97" t="s">
        <v>36</v>
      </c>
      <c r="H20" s="97" t="s">
        <v>37</v>
      </c>
      <c r="I20" s="97" t="s">
        <v>38</v>
      </c>
      <c r="J20" s="97" t="s">
        <v>37</v>
      </c>
      <c r="K20" s="97" t="s">
        <v>261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>
      <c r="A21" s="97" t="s">
        <v>371</v>
      </c>
      <c r="B21" s="97" t="s">
        <v>240</v>
      </c>
      <c r="C21" s="97" t="s">
        <v>140</v>
      </c>
      <c r="D21" s="47">
        <v>230</v>
      </c>
      <c r="E21" s="97" t="s">
        <v>142</v>
      </c>
      <c r="F21" s="97" t="s">
        <v>644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261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>
      <c r="A22" s="97" t="s">
        <v>253</v>
      </c>
      <c r="B22" s="97" t="s">
        <v>259</v>
      </c>
      <c r="C22" s="97" t="s">
        <v>185</v>
      </c>
      <c r="D22" s="47" t="s">
        <v>186</v>
      </c>
      <c r="E22" s="97" t="s">
        <v>385</v>
      </c>
      <c r="F22" s="97" t="s">
        <v>644</v>
      </c>
      <c r="G22" s="97" t="s">
        <v>36</v>
      </c>
      <c r="H22" s="97" t="s">
        <v>37</v>
      </c>
      <c r="I22" s="97" t="s">
        <v>38</v>
      </c>
      <c r="J22" s="97" t="s">
        <v>37</v>
      </c>
      <c r="K22" s="97" t="s">
        <v>261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>
      <c r="A23" s="97" t="s">
        <v>253</v>
      </c>
      <c r="B23" s="97" t="s">
        <v>322</v>
      </c>
      <c r="C23" s="97" t="s">
        <v>327</v>
      </c>
      <c r="D23" s="47">
        <v>87</v>
      </c>
      <c r="E23" s="97" t="s">
        <v>651</v>
      </c>
      <c r="F23" s="97" t="s">
        <v>644</v>
      </c>
      <c r="G23" s="97" t="s">
        <v>36</v>
      </c>
      <c r="H23" s="97" t="s">
        <v>37</v>
      </c>
      <c r="I23" s="97" t="s">
        <v>38</v>
      </c>
      <c r="J23" s="97" t="s">
        <v>37</v>
      </c>
      <c r="K23" s="97" t="s">
        <v>261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>
      <c r="A24" s="97" t="s">
        <v>371</v>
      </c>
      <c r="B24" s="97" t="s">
        <v>371</v>
      </c>
      <c r="C24" s="97" t="s">
        <v>137</v>
      </c>
      <c r="D24" s="47">
        <v>202</v>
      </c>
      <c r="E24" s="97" t="s">
        <v>78</v>
      </c>
      <c r="F24" s="97" t="s">
        <v>644</v>
      </c>
      <c r="G24" s="97" t="s">
        <v>36</v>
      </c>
      <c r="H24" s="97" t="s">
        <v>37</v>
      </c>
      <c r="I24" s="97" t="s">
        <v>38</v>
      </c>
      <c r="J24" s="97" t="s">
        <v>37</v>
      </c>
      <c r="K24" s="97" t="s">
        <v>261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>
      <c r="A25" s="97" t="s">
        <v>253</v>
      </c>
      <c r="B25" s="97" t="s">
        <v>322</v>
      </c>
      <c r="C25" s="97" t="s">
        <v>323</v>
      </c>
      <c r="D25" s="47">
        <v>204</v>
      </c>
      <c r="E25" s="97" t="s">
        <v>652</v>
      </c>
      <c r="F25" s="97" t="s">
        <v>644</v>
      </c>
      <c r="G25" s="97" t="s">
        <v>36</v>
      </c>
      <c r="H25" s="97" t="s">
        <v>37</v>
      </c>
      <c r="I25" s="97" t="s">
        <v>38</v>
      </c>
      <c r="J25" s="97" t="s">
        <v>37</v>
      </c>
      <c r="K25" s="97" t="s">
        <v>261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>
      <c r="A26" s="97" t="s">
        <v>253</v>
      </c>
      <c r="B26" s="97" t="s">
        <v>259</v>
      </c>
      <c r="C26" s="97" t="s">
        <v>433</v>
      </c>
      <c r="D26" s="47">
        <v>264</v>
      </c>
      <c r="E26" s="97" t="s">
        <v>611</v>
      </c>
      <c r="F26" s="97" t="s">
        <v>644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261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>
      <c r="A27" s="97" t="s">
        <v>231</v>
      </c>
      <c r="B27" s="97" t="s">
        <v>229</v>
      </c>
      <c r="C27" s="97" t="s">
        <v>653</v>
      </c>
      <c r="D27" s="47">
        <v>343</v>
      </c>
      <c r="E27" s="97" t="s">
        <v>645</v>
      </c>
      <c r="F27" s="97" t="s">
        <v>644</v>
      </c>
      <c r="G27" s="97" t="s">
        <v>36</v>
      </c>
      <c r="H27" s="97" t="s">
        <v>37</v>
      </c>
      <c r="I27" s="97" t="s">
        <v>38</v>
      </c>
      <c r="J27" s="97" t="s">
        <v>37</v>
      </c>
      <c r="K27" s="97" t="s">
        <v>261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>
      <c r="A28" s="97" t="s">
        <v>231</v>
      </c>
      <c r="B28" s="97" t="s">
        <v>305</v>
      </c>
      <c r="C28" s="97" t="s">
        <v>615</v>
      </c>
      <c r="D28" s="47">
        <v>366</v>
      </c>
      <c r="E28" s="97" t="s">
        <v>616</v>
      </c>
      <c r="F28" s="97" t="s">
        <v>644</v>
      </c>
      <c r="G28" s="97" t="s">
        <v>36</v>
      </c>
      <c r="H28" s="97" t="s">
        <v>37</v>
      </c>
      <c r="I28" s="97" t="s">
        <v>38</v>
      </c>
      <c r="J28" s="97" t="s">
        <v>37</v>
      </c>
      <c r="K28" s="97" t="s">
        <v>261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>
      <c r="A29" s="97" t="s">
        <v>253</v>
      </c>
      <c r="B29" s="97" t="s">
        <v>234</v>
      </c>
      <c r="C29" s="97" t="s">
        <v>620</v>
      </c>
      <c r="D29" s="47">
        <v>365</v>
      </c>
      <c r="E29" s="97" t="s">
        <v>239</v>
      </c>
      <c r="F29" s="97" t="s">
        <v>644</v>
      </c>
      <c r="G29" s="97" t="s">
        <v>36</v>
      </c>
      <c r="H29" s="97" t="s">
        <v>37</v>
      </c>
      <c r="I29" s="97" t="s">
        <v>38</v>
      </c>
      <c r="J29" s="97" t="s">
        <v>37</v>
      </c>
      <c r="K29" s="97" t="s">
        <v>261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253</v>
      </c>
      <c r="C5" s="97" t="s">
        <v>320</v>
      </c>
      <c r="D5" s="47" t="s">
        <v>629</v>
      </c>
      <c r="E5" s="97" t="s">
        <v>78</v>
      </c>
      <c r="F5" s="97" t="s">
        <v>654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44692</v>
      </c>
      <c r="M5" s="69">
        <v>44692</v>
      </c>
      <c r="N5" s="89">
        <v>1254.69</v>
      </c>
      <c r="O5" s="89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8" t="s">
        <v>655</v>
      </c>
      <c r="G6" s="97" t="s">
        <v>36</v>
      </c>
      <c r="H6" s="97" t="s">
        <v>37</v>
      </c>
      <c r="I6" s="97" t="s">
        <v>38</v>
      </c>
      <c r="J6" s="97" t="s">
        <v>127</v>
      </c>
      <c r="K6" s="97" t="s">
        <v>63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656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>
      <c r="A8" s="97" t="s">
        <v>231</v>
      </c>
      <c r="B8" s="97" t="s">
        <v>221</v>
      </c>
      <c r="C8" s="97" t="s">
        <v>54</v>
      </c>
      <c r="D8" s="47">
        <v>56</v>
      </c>
      <c r="E8" s="97" t="s">
        <v>610</v>
      </c>
      <c r="F8" s="97" t="s">
        <v>657</v>
      </c>
      <c r="G8" s="97" t="s">
        <v>36</v>
      </c>
      <c r="H8" s="97" t="s">
        <v>37</v>
      </c>
      <c r="I8" s="97" t="s">
        <v>38</v>
      </c>
      <c r="J8" s="97" t="s">
        <v>127</v>
      </c>
      <c r="K8" s="97" t="s">
        <v>63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651</v>
      </c>
      <c r="F9" s="97" t="s">
        <v>654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>
      <c r="A10" s="97" t="s">
        <v>231</v>
      </c>
      <c r="B10" s="97" t="s">
        <v>231</v>
      </c>
      <c r="C10" s="97" t="s">
        <v>412</v>
      </c>
      <c r="D10" s="47">
        <v>0</v>
      </c>
      <c r="E10" s="97" t="s">
        <v>562</v>
      </c>
      <c r="F10" s="98" t="s">
        <v>655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>
      <c r="A11" s="97" t="s">
        <v>231</v>
      </c>
      <c r="B11" s="97" t="s">
        <v>658</v>
      </c>
      <c r="C11" s="97" t="s">
        <v>451</v>
      </c>
      <c r="D11" s="47">
        <v>0</v>
      </c>
      <c r="E11" s="97"/>
      <c r="F11" s="98" t="s">
        <v>655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322</v>
      </c>
      <c r="C5" s="97" t="s">
        <v>327</v>
      </c>
      <c r="D5" s="47">
        <v>87</v>
      </c>
      <c r="E5" s="97" t="s">
        <v>651</v>
      </c>
      <c r="F5" s="97" t="s">
        <v>659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>
      <c r="A6" s="97" t="s">
        <v>253</v>
      </c>
      <c r="B6" s="97" t="s">
        <v>253</v>
      </c>
      <c r="C6" s="97" t="s">
        <v>320</v>
      </c>
      <c r="D6" s="47" t="s">
        <v>629</v>
      </c>
      <c r="E6" s="97" t="s">
        <v>78</v>
      </c>
      <c r="F6" s="98" t="s">
        <v>660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231</v>
      </c>
      <c r="B5" s="97" t="s">
        <v>221</v>
      </c>
      <c r="C5" s="97" t="s">
        <v>277</v>
      </c>
      <c r="D5" s="77">
        <v>157</v>
      </c>
      <c r="E5" s="77" t="s">
        <v>663</v>
      </c>
      <c r="F5" s="77" t="s">
        <v>664</v>
      </c>
      <c r="G5" s="97" t="s">
        <v>36</v>
      </c>
      <c r="H5" s="97" t="s">
        <v>37</v>
      </c>
      <c r="I5" s="97" t="s">
        <v>38</v>
      </c>
      <c r="J5" s="97" t="s">
        <v>373</v>
      </c>
      <c r="K5" s="97" t="s">
        <v>374</v>
      </c>
      <c r="L5" s="90">
        <v>44770</v>
      </c>
      <c r="M5" s="90">
        <v>44771</v>
      </c>
      <c r="N5" s="77">
        <f>1417.14/2</f>
        <v>708.57</v>
      </c>
      <c r="O5" s="77">
        <f>1417.14/2</f>
        <v>708.57</v>
      </c>
      <c r="P5" s="70">
        <f>SUM(N5:O5)</f>
        <v>1417.14</v>
      </c>
      <c r="Q5" s="77">
        <v>4</v>
      </c>
      <c r="R5" s="91">
        <v>120</v>
      </c>
      <c r="S5" s="77">
        <v>0</v>
      </c>
      <c r="T5" s="91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595</v>
      </c>
      <c r="B5" s="97" t="s">
        <v>305</v>
      </c>
      <c r="C5" s="97" t="s">
        <v>612</v>
      </c>
      <c r="D5" s="47">
        <v>355</v>
      </c>
      <c r="E5" s="97" t="s">
        <v>308</v>
      </c>
      <c r="F5" s="77" t="s">
        <v>665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44783</v>
      </c>
      <c r="M5" s="90">
        <v>44786</v>
      </c>
      <c r="N5" s="77">
        <f>938.66/2</f>
        <v>469.33</v>
      </c>
      <c r="O5" s="77">
        <f>938.66/2</f>
        <v>469.33</v>
      </c>
      <c r="P5" s="70">
        <f>SUM(N5:O5)</f>
        <v>938.66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7"/>
    </row>
    <row r="6" spans="1:24" s="92" customFormat="1" ht="15">
      <c r="A6" s="97" t="s">
        <v>595</v>
      </c>
      <c r="B6" s="97" t="s">
        <v>595</v>
      </c>
      <c r="C6" s="97" t="s">
        <v>412</v>
      </c>
      <c r="D6" s="47">
        <v>0</v>
      </c>
      <c r="E6" s="97" t="s">
        <v>562</v>
      </c>
      <c r="F6" s="77" t="s">
        <v>665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117</v>
      </c>
      <c r="L6" s="90">
        <v>44783</v>
      </c>
      <c r="M6" s="90">
        <v>44786</v>
      </c>
      <c r="N6" s="77">
        <f>938.66/2</f>
        <v>469.33</v>
      </c>
      <c r="O6" s="77">
        <f>938.66/2</f>
        <v>469.33</v>
      </c>
      <c r="P6" s="70">
        <f t="shared" ref="P6:P11" si="0">SUM(N6:O6)</f>
        <v>938.66</v>
      </c>
      <c r="Q6" s="77">
        <v>0</v>
      </c>
      <c r="R6" s="91">
        <v>0</v>
      </c>
      <c r="S6" s="77">
        <v>0</v>
      </c>
      <c r="T6" s="91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142</v>
      </c>
      <c r="F7" s="77" t="s">
        <v>666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44780</v>
      </c>
      <c r="M7" s="90">
        <v>44782</v>
      </c>
      <c r="N7" s="77">
        <f>1453.97/2</f>
        <v>726.98500000000001</v>
      </c>
      <c r="O7" s="77">
        <f>1453.97/2</f>
        <v>726.98500000000001</v>
      </c>
      <c r="P7" s="70">
        <f t="shared" si="0"/>
        <v>1453.97</v>
      </c>
      <c r="Q7" s="77">
        <v>7</v>
      </c>
      <c r="R7" s="91">
        <v>120</v>
      </c>
      <c r="S7" s="77">
        <v>0</v>
      </c>
      <c r="T7" s="91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7"/>
    </row>
    <row r="8" spans="1:24" s="92" customFormat="1" ht="28.5">
      <c r="A8" s="97" t="s">
        <v>253</v>
      </c>
      <c r="B8" s="97" t="s">
        <v>288</v>
      </c>
      <c r="C8" s="97" t="s">
        <v>345</v>
      </c>
      <c r="D8" s="47">
        <v>74</v>
      </c>
      <c r="E8" s="97" t="s">
        <v>535</v>
      </c>
      <c r="F8" s="93" t="s">
        <v>667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44778</v>
      </c>
      <c r="M8" s="90">
        <v>44796</v>
      </c>
      <c r="N8" s="77">
        <f>1468.46/2</f>
        <v>734.23</v>
      </c>
      <c r="O8" s="77">
        <f>1468.46/2</f>
        <v>734.23</v>
      </c>
      <c r="P8" s="70">
        <f t="shared" si="0"/>
        <v>1468.46</v>
      </c>
      <c r="Q8" s="77">
        <v>19</v>
      </c>
      <c r="R8" s="91">
        <v>120</v>
      </c>
      <c r="S8" s="77">
        <v>0</v>
      </c>
      <c r="T8" s="91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7"/>
    </row>
    <row r="9" spans="1:24" s="92" customFormat="1" ht="15">
      <c r="A9" s="97" t="s">
        <v>253</v>
      </c>
      <c r="B9" s="97" t="s">
        <v>253</v>
      </c>
      <c r="C9" s="97" t="s">
        <v>387</v>
      </c>
      <c r="D9" s="47">
        <v>0</v>
      </c>
      <c r="E9" s="97" t="s">
        <v>78</v>
      </c>
      <c r="F9" s="77" t="s">
        <v>665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44783</v>
      </c>
      <c r="M9" s="90">
        <v>44785</v>
      </c>
      <c r="N9" s="77">
        <f>1281.31/2</f>
        <v>640.65499999999997</v>
      </c>
      <c r="O9" s="77">
        <f>1281.31/2</f>
        <v>640.65499999999997</v>
      </c>
      <c r="P9" s="70">
        <f t="shared" si="0"/>
        <v>1281.31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7"/>
    </row>
    <row r="10" spans="1:24" s="92" customFormat="1" ht="15">
      <c r="A10" s="97" t="s">
        <v>595</v>
      </c>
      <c r="B10" s="97" t="s">
        <v>221</v>
      </c>
      <c r="C10" s="97" t="s">
        <v>54</v>
      </c>
      <c r="D10" s="47">
        <v>56</v>
      </c>
      <c r="E10" s="97" t="s">
        <v>610</v>
      </c>
      <c r="F10" s="77" t="s">
        <v>665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44783</v>
      </c>
      <c r="M10" s="90">
        <v>44785</v>
      </c>
      <c r="N10" s="77">
        <f>1494.92/2</f>
        <v>747.46</v>
      </c>
      <c r="O10" s="77">
        <f>1494.92/2</f>
        <v>747.46</v>
      </c>
      <c r="P10" s="70">
        <f t="shared" si="0"/>
        <v>1494.92</v>
      </c>
      <c r="Q10" s="77">
        <v>3</v>
      </c>
      <c r="R10" s="91">
        <v>120</v>
      </c>
      <c r="S10" s="77"/>
      <c r="T10" s="91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7"/>
    </row>
    <row r="11" spans="1:24" s="92" customFormat="1" ht="15">
      <c r="A11" s="97" t="s">
        <v>595</v>
      </c>
      <c r="B11" s="97" t="s">
        <v>462</v>
      </c>
      <c r="C11" s="97" t="s">
        <v>401</v>
      </c>
      <c r="D11" s="47">
        <v>349</v>
      </c>
      <c r="E11" s="97" t="s">
        <v>403</v>
      </c>
      <c r="F11" s="77" t="s">
        <v>668</v>
      </c>
      <c r="G11" s="97" t="s">
        <v>36</v>
      </c>
      <c r="H11" s="97" t="s">
        <v>37</v>
      </c>
      <c r="I11" s="97" t="s">
        <v>38</v>
      </c>
      <c r="J11" s="97" t="s">
        <v>199</v>
      </c>
      <c r="K11" s="97" t="s">
        <v>669</v>
      </c>
      <c r="L11" s="90">
        <v>44794</v>
      </c>
      <c r="M11" s="90">
        <v>44798</v>
      </c>
      <c r="N11" s="77">
        <f>4132.8/2</f>
        <v>2066.4</v>
      </c>
      <c r="O11" s="77">
        <f>4132.8/2</f>
        <v>2066.4</v>
      </c>
      <c r="P11" s="70">
        <f t="shared" si="0"/>
        <v>4132.8</v>
      </c>
      <c r="Q11" s="77">
        <v>5</v>
      </c>
      <c r="R11" s="91">
        <v>120</v>
      </c>
      <c r="S11" s="77">
        <v>0</v>
      </c>
      <c r="T11" s="91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77" t="s">
        <v>666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44781</v>
      </c>
      <c r="M12" s="90">
        <v>44782</v>
      </c>
      <c r="N12" s="77">
        <f>(1670.82+834.23)/2</f>
        <v>1252.5250000000001</v>
      </c>
      <c r="O12" s="77">
        <f>(1670.82+834.23)/2</f>
        <v>1252.5250000000001</v>
      </c>
      <c r="P12" s="70">
        <f>SUM(N12:O12)</f>
        <v>2505.0500000000002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43009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371</v>
      </c>
      <c r="B5" s="97" t="s">
        <v>396</v>
      </c>
      <c r="C5" s="97" t="s">
        <v>267</v>
      </c>
      <c r="D5" s="47">
        <v>284</v>
      </c>
      <c r="E5" s="97" t="s">
        <v>670</v>
      </c>
      <c r="F5" s="77" t="s">
        <v>671</v>
      </c>
      <c r="G5" s="97" t="s">
        <v>36</v>
      </c>
      <c r="H5" s="97" t="s">
        <v>37</v>
      </c>
      <c r="I5" s="97" t="s">
        <v>38</v>
      </c>
      <c r="J5" s="97" t="s">
        <v>661</v>
      </c>
      <c r="K5" s="97" t="s">
        <v>662</v>
      </c>
      <c r="L5" s="90">
        <v>44823</v>
      </c>
      <c r="M5" s="90">
        <v>44827</v>
      </c>
      <c r="N5" s="91">
        <f>1212.43/2</f>
        <v>606.21500000000003</v>
      </c>
      <c r="O5" s="91">
        <f>1212.43/2</f>
        <v>606.21500000000003</v>
      </c>
      <c r="P5" s="70">
        <f>SUM(N5:O5)</f>
        <v>1212.43</v>
      </c>
      <c r="Q5" s="77">
        <v>5</v>
      </c>
      <c r="R5" s="91">
        <v>120</v>
      </c>
      <c r="S5" s="77">
        <v>0</v>
      </c>
      <c r="T5" s="91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7"/>
    </row>
    <row r="6" spans="1:24" s="92" customFormat="1" ht="15">
      <c r="A6" s="97" t="s">
        <v>253</v>
      </c>
      <c r="B6" s="97" t="s">
        <v>288</v>
      </c>
      <c r="C6" s="97" t="s">
        <v>173</v>
      </c>
      <c r="D6" s="47">
        <v>127</v>
      </c>
      <c r="E6" s="97" t="s">
        <v>672</v>
      </c>
      <c r="F6" s="77" t="s">
        <v>671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90">
        <v>44823</v>
      </c>
      <c r="M6" s="90">
        <v>44827</v>
      </c>
      <c r="N6" s="91">
        <f>1212.43/2</f>
        <v>606.21500000000003</v>
      </c>
      <c r="O6" s="91">
        <f>1212.43/2</f>
        <v>606.21500000000003</v>
      </c>
      <c r="P6" s="70">
        <f t="shared" ref="P6:P8" si="0">SUM(N6:O6)</f>
        <v>1212.43</v>
      </c>
      <c r="Q6" s="77">
        <v>5</v>
      </c>
      <c r="R6" s="91">
        <v>120</v>
      </c>
      <c r="S6" s="77">
        <v>0</v>
      </c>
      <c r="T6" s="91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7"/>
    </row>
    <row r="7" spans="1:24" s="92" customFormat="1" ht="15">
      <c r="A7" s="97" t="s">
        <v>253</v>
      </c>
      <c r="B7" s="97" t="s">
        <v>259</v>
      </c>
      <c r="C7" s="97" t="s">
        <v>613</v>
      </c>
      <c r="D7" s="47">
        <v>372</v>
      </c>
      <c r="E7" s="97" t="s">
        <v>673</v>
      </c>
      <c r="F7" s="77" t="s">
        <v>674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44825</v>
      </c>
      <c r="M7" s="90">
        <v>44826</v>
      </c>
      <c r="N7" s="91">
        <v>1453.97</v>
      </c>
      <c r="O7" s="91">
        <v>2364.62</v>
      </c>
      <c r="P7" s="70">
        <f t="shared" si="0"/>
        <v>3818.59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676</v>
      </c>
      <c r="F8" s="93" t="s">
        <v>677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44832</v>
      </c>
      <c r="M8" s="90">
        <v>44833</v>
      </c>
      <c r="N8" s="91">
        <f>2113.03/2</f>
        <v>1056.5150000000001</v>
      </c>
      <c r="O8" s="91">
        <f>2113.03/2</f>
        <v>1056.5150000000001</v>
      </c>
      <c r="P8" s="70">
        <f t="shared" si="0"/>
        <v>2113.0300000000002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253</v>
      </c>
      <c r="B5" s="97" t="s">
        <v>253</v>
      </c>
      <c r="C5" s="97" t="s">
        <v>675</v>
      </c>
      <c r="D5" s="47">
        <v>383</v>
      </c>
      <c r="E5" s="97" t="s">
        <v>676</v>
      </c>
      <c r="F5" s="77" t="s">
        <v>678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90">
        <v>44853</v>
      </c>
      <c r="M5" s="90">
        <v>44854</v>
      </c>
      <c r="N5" s="91">
        <f>1104.62/2</f>
        <v>552.30999999999995</v>
      </c>
      <c r="O5" s="91">
        <f>1104.62/2</f>
        <v>552.30999999999995</v>
      </c>
      <c r="P5" s="70">
        <f>SUM(N5:O5)</f>
        <v>1104.6199999999999</v>
      </c>
      <c r="Q5" s="77">
        <v>2</v>
      </c>
      <c r="R5" s="91">
        <v>120</v>
      </c>
      <c r="S5" s="77">
        <v>0</v>
      </c>
      <c r="T5" s="91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7"/>
    </row>
    <row r="6" spans="1:24" s="92" customFormat="1" ht="15">
      <c r="A6" s="97" t="s">
        <v>253</v>
      </c>
      <c r="B6" s="97" t="s">
        <v>322</v>
      </c>
      <c r="C6" s="97" t="s">
        <v>327</v>
      </c>
      <c r="D6" s="47">
        <v>87</v>
      </c>
      <c r="E6" s="97" t="s">
        <v>651</v>
      </c>
      <c r="F6" s="77" t="s">
        <v>678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90">
        <v>44853</v>
      </c>
      <c r="M6" s="90">
        <v>44854</v>
      </c>
      <c r="N6" s="91">
        <f>1104.62/2</f>
        <v>552.30999999999995</v>
      </c>
      <c r="O6" s="91">
        <f t="shared" ref="O6:O7" si="0">1104.62/2</f>
        <v>552.30999999999995</v>
      </c>
      <c r="P6" s="70">
        <f t="shared" ref="P6:P7" si="1">SUM(N6:O6)</f>
        <v>1104.6199999999999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7"/>
    </row>
    <row r="7" spans="1:24" s="92" customFormat="1" ht="15">
      <c r="A7" s="97" t="s">
        <v>253</v>
      </c>
      <c r="B7" s="97" t="s">
        <v>288</v>
      </c>
      <c r="C7" s="97" t="s">
        <v>237</v>
      </c>
      <c r="D7" s="47">
        <v>82</v>
      </c>
      <c r="E7" s="97" t="s">
        <v>679</v>
      </c>
      <c r="F7" s="77" t="s">
        <v>678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90">
        <v>44853</v>
      </c>
      <c r="M7" s="90">
        <v>44854</v>
      </c>
      <c r="N7" s="91">
        <f>1104.62/2</f>
        <v>552.30999999999995</v>
      </c>
      <c r="O7" s="91">
        <f t="shared" si="0"/>
        <v>552.30999999999995</v>
      </c>
      <c r="P7" s="70">
        <f t="shared" si="1"/>
        <v>1104.6199999999999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231</v>
      </c>
      <c r="B5" s="97" t="s">
        <v>305</v>
      </c>
      <c r="C5" s="97" t="s">
        <v>612</v>
      </c>
      <c r="D5" s="47">
        <v>355</v>
      </c>
      <c r="E5" s="97" t="s">
        <v>308</v>
      </c>
      <c r="F5" s="97" t="s">
        <v>680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44881</v>
      </c>
      <c r="M5" s="90">
        <v>44884</v>
      </c>
      <c r="N5" s="91">
        <v>2113.0300000000002</v>
      </c>
      <c r="O5" s="91">
        <v>2364.62</v>
      </c>
      <c r="P5" s="91">
        <f>SUM(N5:O5)</f>
        <v>4477.6499999999996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7"/>
    </row>
    <row r="6" spans="1:24" s="92" customFormat="1" ht="15">
      <c r="A6" s="97" t="s">
        <v>231</v>
      </c>
      <c r="B6" s="97" t="s">
        <v>221</v>
      </c>
      <c r="C6" s="97" t="s">
        <v>54</v>
      </c>
      <c r="D6" s="47">
        <v>56</v>
      </c>
      <c r="E6" s="97" t="s">
        <v>610</v>
      </c>
      <c r="F6" s="97" t="s">
        <v>681</v>
      </c>
      <c r="G6" s="97" t="s">
        <v>36</v>
      </c>
      <c r="H6" s="97" t="s">
        <v>37</v>
      </c>
      <c r="I6" s="97" t="s">
        <v>38</v>
      </c>
      <c r="J6" s="97" t="s">
        <v>424</v>
      </c>
      <c r="K6" s="97" t="s">
        <v>427</v>
      </c>
      <c r="L6" s="90">
        <v>44872</v>
      </c>
      <c r="M6" s="90">
        <v>44875</v>
      </c>
      <c r="N6" s="91">
        <f>1908.15/2</f>
        <v>954.07500000000005</v>
      </c>
      <c r="O6" s="91">
        <f>1908.15/2</f>
        <v>954.07500000000005</v>
      </c>
      <c r="P6" s="91">
        <f t="shared" ref="P6:P11" si="0">SUM(N6:O6)</f>
        <v>1908.15</v>
      </c>
      <c r="Q6" s="77">
        <v>10</v>
      </c>
      <c r="R6" s="91">
        <v>120</v>
      </c>
      <c r="S6" s="77">
        <v>0</v>
      </c>
      <c r="T6" s="91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7"/>
    </row>
    <row r="7" spans="1:24" s="92" customFormat="1" ht="15">
      <c r="A7" s="97" t="s">
        <v>231</v>
      </c>
      <c r="B7" s="97" t="s">
        <v>231</v>
      </c>
      <c r="C7" s="97" t="s">
        <v>412</v>
      </c>
      <c r="D7" s="47">
        <v>0</v>
      </c>
      <c r="E7" s="97" t="s">
        <v>562</v>
      </c>
      <c r="F7" s="97" t="s">
        <v>680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44881</v>
      </c>
      <c r="M7" s="90">
        <v>44884</v>
      </c>
      <c r="N7" s="91">
        <v>2113.0300000000002</v>
      </c>
      <c r="O7" s="91">
        <v>2364.62</v>
      </c>
      <c r="P7" s="91">
        <f t="shared" si="0"/>
        <v>4477.6499999999996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7"/>
    </row>
    <row r="8" spans="1:24" s="92" customFormat="1" ht="15">
      <c r="A8" s="97" t="s">
        <v>253</v>
      </c>
      <c r="B8" s="97" t="s">
        <v>212</v>
      </c>
      <c r="C8" s="97" t="s">
        <v>404</v>
      </c>
      <c r="D8" s="47">
        <v>345</v>
      </c>
      <c r="E8" s="97" t="s">
        <v>646</v>
      </c>
      <c r="F8" s="97" t="s">
        <v>682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44873</v>
      </c>
      <c r="M8" s="90">
        <v>44873</v>
      </c>
      <c r="N8" s="91">
        <f>2930.51/2</f>
        <v>1465.2550000000001</v>
      </c>
      <c r="O8" s="91">
        <f>2930.51/2</f>
        <v>1465.2550000000001</v>
      </c>
      <c r="P8" s="91">
        <f t="shared" si="0"/>
        <v>2930.51</v>
      </c>
      <c r="Q8" s="77">
        <v>1</v>
      </c>
      <c r="R8" s="91">
        <v>120</v>
      </c>
      <c r="S8" s="77">
        <v>0</v>
      </c>
      <c r="T8" s="91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7"/>
    </row>
    <row r="9" spans="1:24" s="92" customFormat="1" ht="15">
      <c r="A9" s="97" t="s">
        <v>371</v>
      </c>
      <c r="B9" s="97" t="s">
        <v>240</v>
      </c>
      <c r="C9" s="97" t="s">
        <v>140</v>
      </c>
      <c r="D9" s="47">
        <v>230</v>
      </c>
      <c r="E9" s="97" t="s">
        <v>142</v>
      </c>
      <c r="F9" s="97" t="s">
        <v>682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44873</v>
      </c>
      <c r="M9" s="90">
        <v>44873</v>
      </c>
      <c r="N9" s="91">
        <f>3433/2</f>
        <v>1716.5</v>
      </c>
      <c r="O9" s="91">
        <f>3433/2</f>
        <v>1716.5</v>
      </c>
      <c r="P9" s="91">
        <f t="shared" si="0"/>
        <v>3433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683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44881</v>
      </c>
      <c r="M10" s="90">
        <v>44882</v>
      </c>
      <c r="N10" s="91">
        <f>2265.36/2</f>
        <v>1132.68</v>
      </c>
      <c r="O10" s="91">
        <f>2265.36/2</f>
        <v>1132.68</v>
      </c>
      <c r="P10" s="91">
        <f t="shared" si="0"/>
        <v>2265.36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7"/>
    </row>
    <row r="11" spans="1:24" s="92" customFormat="1" ht="15">
      <c r="A11" s="97" t="s">
        <v>253</v>
      </c>
      <c r="B11" s="97" t="s">
        <v>212</v>
      </c>
      <c r="C11" s="97" t="s">
        <v>270</v>
      </c>
      <c r="D11" s="47" t="s">
        <v>168</v>
      </c>
      <c r="E11" s="97" t="s">
        <v>599</v>
      </c>
      <c r="F11" s="97" t="s">
        <v>683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44881</v>
      </c>
      <c r="M11" s="90">
        <v>44882</v>
      </c>
      <c r="N11" s="91">
        <f>2265.36/2</f>
        <v>1132.68</v>
      </c>
      <c r="O11" s="91">
        <f>2265.36/2</f>
        <v>1132.68</v>
      </c>
      <c r="P11" s="91">
        <f t="shared" si="0"/>
        <v>2265.36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231</v>
      </c>
      <c r="B5" s="97" t="s">
        <v>229</v>
      </c>
      <c r="C5" s="97" t="s">
        <v>586</v>
      </c>
      <c r="D5" s="47">
        <v>357</v>
      </c>
      <c r="E5" s="97" t="s">
        <v>248</v>
      </c>
      <c r="F5" s="97" t="s">
        <v>684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44908</v>
      </c>
      <c r="M5" s="90">
        <v>44910</v>
      </c>
      <c r="N5" s="91">
        <f>1670.62/2</f>
        <v>835.31</v>
      </c>
      <c r="O5" s="91">
        <f>1670.62/2</f>
        <v>835.31</v>
      </c>
      <c r="P5" s="91">
        <f>SUM(N5:O5)</f>
        <v>1670.62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7"/>
    </row>
    <row r="6" spans="1:24" s="92" customFormat="1" ht="15">
      <c r="A6" s="97" t="s">
        <v>253</v>
      </c>
      <c r="B6" s="97" t="s">
        <v>234</v>
      </c>
      <c r="C6" s="97" t="s">
        <v>456</v>
      </c>
      <c r="D6" s="47">
        <v>300</v>
      </c>
      <c r="E6" s="97" t="s">
        <v>685</v>
      </c>
      <c r="F6" s="97" t="s">
        <v>686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44899</v>
      </c>
      <c r="M6" s="90">
        <v>44901</v>
      </c>
      <c r="N6" s="91">
        <f>3264.36/2</f>
        <v>1632.18</v>
      </c>
      <c r="O6" s="91">
        <f>3264.36/2</f>
        <v>1632.18</v>
      </c>
      <c r="P6" s="91">
        <f t="shared" ref="P6:P7" si="0">SUM(N6:O6)</f>
        <v>3264.36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/>
      <c r="E7" s="97" t="s">
        <v>50</v>
      </c>
      <c r="F7" s="97" t="s">
        <v>687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44894</v>
      </c>
      <c r="M7" s="90">
        <v>44898</v>
      </c>
      <c r="N7" s="91">
        <f>1879.42/2</f>
        <v>939.71</v>
      </c>
      <c r="O7" s="91">
        <f>1879.42/2</f>
        <v>939.71</v>
      </c>
      <c r="P7" s="91">
        <f t="shared" si="0"/>
        <v>1879.42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/>
      <c r="B5" s="97"/>
      <c r="C5" s="97"/>
      <c r="D5" s="47"/>
      <c r="E5" s="97"/>
      <c r="F5" s="97"/>
      <c r="G5" s="97"/>
      <c r="H5" s="97"/>
      <c r="I5" s="97"/>
      <c r="J5" s="97"/>
      <c r="K5" s="97"/>
      <c r="L5" s="90"/>
      <c r="M5" s="90"/>
      <c r="N5" s="91"/>
      <c r="O5" s="91"/>
      <c r="P5" s="91">
        <f>SUM(N5:O5)</f>
        <v>0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0</v>
      </c>
      <c r="W5" s="70">
        <f>V5</f>
        <v>0</v>
      </c>
      <c r="X5" s="77"/>
    </row>
    <row r="6" spans="1:24" s="92" customFormat="1" ht="15">
      <c r="A6" s="97"/>
      <c r="B6" s="97"/>
      <c r="C6" s="97"/>
      <c r="D6" s="47"/>
      <c r="E6" s="97"/>
      <c r="F6" s="97"/>
      <c r="G6" s="97"/>
      <c r="H6" s="97"/>
      <c r="I6" s="97"/>
      <c r="J6" s="97"/>
      <c r="K6" s="97"/>
      <c r="L6" s="90"/>
      <c r="M6" s="90"/>
      <c r="N6" s="91"/>
      <c r="O6" s="91"/>
      <c r="P6" s="91">
        <f t="shared" ref="P6:P7" si="0">SUM(N6:O6)</f>
        <v>0</v>
      </c>
      <c r="Q6" s="77">
        <v>0</v>
      </c>
      <c r="R6" s="91">
        <v>0</v>
      </c>
      <c r="S6" s="77">
        <v>0</v>
      </c>
      <c r="T6" s="91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7"/>
    </row>
    <row r="7" spans="1:24" s="92" customFormat="1" ht="15">
      <c r="A7" s="97"/>
      <c r="B7" s="97"/>
      <c r="C7" s="97"/>
      <c r="D7" s="47"/>
      <c r="E7" s="97"/>
      <c r="F7" s="97"/>
      <c r="G7" s="97"/>
      <c r="H7" s="97"/>
      <c r="I7" s="97"/>
      <c r="J7" s="97"/>
      <c r="K7" s="97"/>
      <c r="L7" s="90"/>
      <c r="M7" s="90"/>
      <c r="N7" s="91"/>
      <c r="O7" s="91"/>
      <c r="P7" s="91">
        <f t="shared" si="0"/>
        <v>0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45001</v>
      </c>
      <c r="M5" s="90">
        <v>45002</v>
      </c>
      <c r="N5" s="91">
        <f t="shared" ref="N5:O7" si="0">936.14/2</f>
        <v>468.07</v>
      </c>
      <c r="O5" s="91">
        <f t="shared" si="0"/>
        <v>468.07</v>
      </c>
      <c r="P5" s="91">
        <f>SUM(N5:O5)</f>
        <v>936.14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7"/>
    </row>
    <row r="6" spans="1:24" s="92" customFormat="1" ht="15">
      <c r="A6" s="97" t="s">
        <v>253</v>
      </c>
      <c r="B6" s="97" t="s">
        <v>212</v>
      </c>
      <c r="C6" s="97" t="s">
        <v>620</v>
      </c>
      <c r="D6" s="47">
        <v>365</v>
      </c>
      <c r="E6" s="97" t="s">
        <v>34</v>
      </c>
      <c r="F6" s="97" t="s">
        <v>688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45001</v>
      </c>
      <c r="M6" s="90">
        <v>45002</v>
      </c>
      <c r="N6" s="91">
        <f t="shared" si="0"/>
        <v>468.07</v>
      </c>
      <c r="O6" s="91">
        <f t="shared" si="0"/>
        <v>468.07</v>
      </c>
      <c r="P6" s="91">
        <f t="shared" ref="P6:P10" si="1">SUM(N6:O6)</f>
        <v>936.14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7"/>
    </row>
    <row r="7" spans="1:24" s="92" customFormat="1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45001</v>
      </c>
      <c r="M7" s="90">
        <v>45002</v>
      </c>
      <c r="N7" s="91">
        <f t="shared" si="0"/>
        <v>468.07</v>
      </c>
      <c r="O7" s="91">
        <f t="shared" si="0"/>
        <v>468.07</v>
      </c>
      <c r="P7" s="91">
        <f t="shared" si="1"/>
        <v>936.14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7"/>
    </row>
    <row r="8" spans="1:24" s="92" customFormat="1" ht="15">
      <c r="A8" s="97" t="s">
        <v>231</v>
      </c>
      <c r="B8" s="97" t="s">
        <v>229</v>
      </c>
      <c r="C8" s="97" t="s">
        <v>586</v>
      </c>
      <c r="D8" s="47">
        <v>357</v>
      </c>
      <c r="E8" s="97" t="s">
        <v>248</v>
      </c>
      <c r="F8" s="97" t="s">
        <v>689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44997</v>
      </c>
      <c r="M8" s="90">
        <v>45002</v>
      </c>
      <c r="N8" s="91">
        <v>1623.42</v>
      </c>
      <c r="O8" s="91">
        <v>1879.42</v>
      </c>
      <c r="P8" s="91">
        <f t="shared" si="1"/>
        <v>3502.84</v>
      </c>
      <c r="Q8" s="77">
        <v>0</v>
      </c>
      <c r="R8" s="91">
        <v>0</v>
      </c>
      <c r="S8" s="77">
        <v>0</v>
      </c>
      <c r="T8" s="91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7"/>
    </row>
    <row r="9" spans="1:24" s="92" customFormat="1" ht="15">
      <c r="A9" s="97" t="s">
        <v>253</v>
      </c>
      <c r="B9" s="97" t="s">
        <v>288</v>
      </c>
      <c r="C9" s="97" t="s">
        <v>345</v>
      </c>
      <c r="D9" s="47">
        <v>74</v>
      </c>
      <c r="E9" s="97" t="s">
        <v>535</v>
      </c>
      <c r="F9" s="97" t="s">
        <v>690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44988</v>
      </c>
      <c r="M9" s="90">
        <v>44989</v>
      </c>
      <c r="N9" s="91">
        <f>1709.31/2</f>
        <v>854.65499999999997</v>
      </c>
      <c r="O9" s="91">
        <f>1709.31/2</f>
        <v>854.65499999999997</v>
      </c>
      <c r="P9" s="91">
        <f t="shared" si="1"/>
        <v>1709.31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7"/>
    </row>
    <row r="10" spans="1:24" s="92" customFormat="1" ht="15">
      <c r="A10" s="181" t="s">
        <v>371</v>
      </c>
      <c r="B10" s="181" t="s">
        <v>240</v>
      </c>
      <c r="C10" s="181" t="s">
        <v>140</v>
      </c>
      <c r="D10" s="116">
        <v>230</v>
      </c>
      <c r="E10" s="176" t="s">
        <v>142</v>
      </c>
      <c r="F10" s="181" t="s">
        <v>691</v>
      </c>
      <c r="G10" s="97" t="s">
        <v>36</v>
      </c>
      <c r="H10" s="97" t="s">
        <v>62</v>
      </c>
      <c r="I10" s="97" t="s">
        <v>63</v>
      </c>
      <c r="J10" s="97" t="s">
        <v>39</v>
      </c>
      <c r="K10" s="97" t="s">
        <v>40</v>
      </c>
      <c r="L10" s="165">
        <v>45011</v>
      </c>
      <c r="M10" s="165">
        <v>45013</v>
      </c>
      <c r="N10" s="163">
        <f>3156.22/2</f>
        <v>1578.11</v>
      </c>
      <c r="O10" s="163">
        <f>3156.22/2</f>
        <v>1578.11</v>
      </c>
      <c r="P10" s="163">
        <f t="shared" si="1"/>
        <v>3156.22</v>
      </c>
      <c r="Q10" s="161">
        <v>7</v>
      </c>
      <c r="R10" s="163">
        <v>120</v>
      </c>
      <c r="S10" s="161">
        <v>0</v>
      </c>
      <c r="T10" s="163">
        <v>0</v>
      </c>
      <c r="U10" s="158">
        <f t="shared" si="2"/>
        <v>840</v>
      </c>
      <c r="V10" s="158">
        <f>P10+U10</f>
        <v>3996.22</v>
      </c>
      <c r="W10" s="158">
        <f>V10</f>
        <v>3996.22</v>
      </c>
      <c r="X10" s="181"/>
    </row>
    <row r="11" spans="1:24" s="92" customFormat="1" ht="15">
      <c r="A11" s="182"/>
      <c r="B11" s="182"/>
      <c r="C11" s="182"/>
      <c r="D11" s="116"/>
      <c r="E11" s="176"/>
      <c r="F11" s="182"/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166"/>
      <c r="M11" s="166"/>
      <c r="N11" s="164"/>
      <c r="O11" s="164"/>
      <c r="P11" s="164"/>
      <c r="Q11" s="162"/>
      <c r="R11" s="164"/>
      <c r="S11" s="162"/>
      <c r="T11" s="164"/>
      <c r="U11" s="159"/>
      <c r="V11" s="159"/>
      <c r="W11" s="159"/>
      <c r="X11" s="182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371</v>
      </c>
      <c r="B5" s="97" t="s">
        <v>240</v>
      </c>
      <c r="C5" s="97" t="s">
        <v>448</v>
      </c>
      <c r="D5" s="47">
        <v>336</v>
      </c>
      <c r="E5" s="97" t="s">
        <v>692</v>
      </c>
      <c r="F5" s="97" t="s">
        <v>693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45019</v>
      </c>
      <c r="M5" s="90">
        <v>45021</v>
      </c>
      <c r="N5" s="91">
        <f t="shared" ref="N5:O7" si="0">3258.83/2</f>
        <v>1629.415</v>
      </c>
      <c r="O5" s="91">
        <f t="shared" si="0"/>
        <v>1629.415</v>
      </c>
      <c r="P5" s="91">
        <f>SUM(N5:O5)</f>
        <v>3258.83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7"/>
    </row>
    <row r="6" spans="1:24" s="92" customFormat="1" ht="15">
      <c r="A6" s="97" t="s">
        <v>371</v>
      </c>
      <c r="B6" s="97" t="s">
        <v>240</v>
      </c>
      <c r="C6" s="97" t="s">
        <v>140</v>
      </c>
      <c r="D6" s="47">
        <v>230</v>
      </c>
      <c r="E6" s="97" t="s">
        <v>142</v>
      </c>
      <c r="F6" s="97" t="s">
        <v>693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40</v>
      </c>
      <c r="L6" s="90">
        <v>45019</v>
      </c>
      <c r="M6" s="90">
        <v>45021</v>
      </c>
      <c r="N6" s="91">
        <f t="shared" si="0"/>
        <v>1629.415</v>
      </c>
      <c r="O6" s="91">
        <f t="shared" si="0"/>
        <v>1629.415</v>
      </c>
      <c r="P6" s="91">
        <f t="shared" ref="P6:P10" si="1">SUM(N6:O6)</f>
        <v>3258.83</v>
      </c>
      <c r="Q6" s="77">
        <v>6</v>
      </c>
      <c r="R6" s="91">
        <v>120</v>
      </c>
      <c r="S6" s="77">
        <v>0</v>
      </c>
      <c r="T6" s="91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78</v>
      </c>
      <c r="F7" s="97" t="s">
        <v>693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40</v>
      </c>
      <c r="L7" s="90">
        <v>45019</v>
      </c>
      <c r="M7" s="90">
        <v>45021</v>
      </c>
      <c r="N7" s="91">
        <f t="shared" si="0"/>
        <v>1629.415</v>
      </c>
      <c r="O7" s="91">
        <f t="shared" si="0"/>
        <v>1629.415</v>
      </c>
      <c r="P7" s="91">
        <f t="shared" si="1"/>
        <v>3258.83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7"/>
    </row>
    <row r="8" spans="1:24" s="92" customFormat="1" ht="15">
      <c r="A8" s="97" t="s">
        <v>253</v>
      </c>
      <c r="B8" s="97" t="s">
        <v>288</v>
      </c>
      <c r="C8" s="97" t="s">
        <v>642</v>
      </c>
      <c r="D8" s="47">
        <v>252</v>
      </c>
      <c r="E8" s="97" t="s">
        <v>694</v>
      </c>
      <c r="F8" s="97" t="s">
        <v>695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90">
        <v>45021</v>
      </c>
      <c r="M8" s="90">
        <v>45036</v>
      </c>
      <c r="N8" s="91">
        <f>1112.2/2</f>
        <v>556.1</v>
      </c>
      <c r="O8" s="91">
        <f>1112.2/2</f>
        <v>556.1</v>
      </c>
      <c r="P8" s="91">
        <f t="shared" si="1"/>
        <v>1112.2</v>
      </c>
      <c r="Q8" s="77">
        <v>16</v>
      </c>
      <c r="R8" s="91">
        <v>120</v>
      </c>
      <c r="S8" s="77">
        <v>0</v>
      </c>
      <c r="T8" s="91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676</v>
      </c>
      <c r="F9" s="97" t="s">
        <v>696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45040</v>
      </c>
      <c r="M9" s="90">
        <v>45041</v>
      </c>
      <c r="N9" s="91">
        <f>5617.58/2</f>
        <v>2808.79</v>
      </c>
      <c r="O9" s="91">
        <f>5617.58/2</f>
        <v>2808.79</v>
      </c>
      <c r="P9" s="91">
        <f t="shared" si="1"/>
        <v>5617.58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7"/>
    </row>
    <row r="10" spans="1:24" s="92" customFormat="1" ht="15">
      <c r="A10" s="97" t="s">
        <v>253</v>
      </c>
      <c r="B10" s="97" t="s">
        <v>253</v>
      </c>
      <c r="C10" s="97" t="s">
        <v>387</v>
      </c>
      <c r="D10" s="47"/>
      <c r="E10" s="97" t="s">
        <v>50</v>
      </c>
      <c r="F10" s="97" t="s">
        <v>696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40</v>
      </c>
      <c r="L10" s="90">
        <v>45040</v>
      </c>
      <c r="M10" s="90">
        <v>45041</v>
      </c>
      <c r="N10" s="91">
        <f>5617.58/2</f>
        <v>2808.79</v>
      </c>
      <c r="O10" s="91">
        <f>5617.58/2</f>
        <v>2808.79</v>
      </c>
      <c r="P10" s="91">
        <f t="shared" si="1"/>
        <v>5617.58</v>
      </c>
      <c r="Q10" s="77">
        <v>0</v>
      </c>
      <c r="R10" s="91">
        <v>0</v>
      </c>
      <c r="S10" s="77">
        <v>0</v>
      </c>
      <c r="T10" s="91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.25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697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45055</v>
      </c>
      <c r="M5" s="90">
        <v>45060</v>
      </c>
      <c r="N5" s="91">
        <f>1309.52/2</f>
        <v>654.76</v>
      </c>
      <c r="O5" s="91">
        <f>1309.52/2</f>
        <v>654.76</v>
      </c>
      <c r="P5" s="91">
        <f>SUM(N5:O5)</f>
        <v>1309.52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7"/>
    </row>
    <row r="6" spans="1:24" s="92" customFormat="1" ht="15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97" t="s">
        <v>699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45055</v>
      </c>
      <c r="M6" s="90">
        <v>45057</v>
      </c>
      <c r="N6" s="91">
        <f>1592.83/2</f>
        <v>796.41499999999996</v>
      </c>
      <c r="O6" s="91">
        <f>1592.83/2</f>
        <v>796.41499999999996</v>
      </c>
      <c r="P6" s="91">
        <f t="shared" ref="P6:P11" si="0">SUM(N6:O6)</f>
        <v>1592.83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699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45055</v>
      </c>
      <c r="M7" s="90">
        <v>45057</v>
      </c>
      <c r="N7" s="91">
        <f>1619.83/2</f>
        <v>809.91499999999996</v>
      </c>
      <c r="O7" s="91">
        <f>1619.83/2</f>
        <v>809.91499999999996</v>
      </c>
      <c r="P7" s="91">
        <f t="shared" si="0"/>
        <v>1619.83</v>
      </c>
      <c r="Q7" s="77">
        <v>3</v>
      </c>
      <c r="R7" s="91">
        <v>120</v>
      </c>
      <c r="S7" s="77">
        <v>0</v>
      </c>
      <c r="T7" s="91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7"/>
    </row>
    <row r="8" spans="1:24" s="92" customFormat="1" ht="15">
      <c r="A8" s="97" t="s">
        <v>371</v>
      </c>
      <c r="B8" s="97" t="s">
        <v>371</v>
      </c>
      <c r="C8" s="97" t="s">
        <v>79</v>
      </c>
      <c r="D8" s="47"/>
      <c r="E8" s="97" t="s">
        <v>80</v>
      </c>
      <c r="F8" s="97" t="s">
        <v>699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45055</v>
      </c>
      <c r="M8" s="90">
        <v>45057</v>
      </c>
      <c r="N8" s="91">
        <f>1699.96/2</f>
        <v>849.98</v>
      </c>
      <c r="O8" s="91">
        <f>1699.96/2</f>
        <v>849.98</v>
      </c>
      <c r="P8" s="91">
        <f t="shared" si="0"/>
        <v>1699.96</v>
      </c>
      <c r="Q8" s="77">
        <v>0</v>
      </c>
      <c r="R8" s="91">
        <v>0</v>
      </c>
      <c r="S8" s="77">
        <v>0</v>
      </c>
      <c r="T8" s="91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7"/>
    </row>
    <row r="9" spans="1:24" s="92" customFormat="1" ht="15">
      <c r="A9" s="97" t="s">
        <v>231</v>
      </c>
      <c r="B9" s="97" t="s">
        <v>241</v>
      </c>
      <c r="C9" s="97" t="s">
        <v>701</v>
      </c>
      <c r="D9" s="47">
        <v>394</v>
      </c>
      <c r="E9" s="97" t="s">
        <v>702</v>
      </c>
      <c r="F9" s="97" t="s">
        <v>703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45056</v>
      </c>
      <c r="M9" s="90">
        <v>45058</v>
      </c>
      <c r="N9" s="91">
        <f>5095/2</f>
        <v>2547.5</v>
      </c>
      <c r="O9" s="91">
        <f>5095/2</f>
        <v>2547.5</v>
      </c>
      <c r="P9" s="91">
        <f t="shared" si="0"/>
        <v>5095</v>
      </c>
      <c r="Q9" s="77">
        <v>3</v>
      </c>
      <c r="R9" s="91">
        <v>120</v>
      </c>
      <c r="S9" s="77">
        <v>0</v>
      </c>
      <c r="T9" s="91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7"/>
    </row>
    <row r="10" spans="1:24" s="92" customFormat="1" ht="15">
      <c r="A10" s="97" t="s">
        <v>231</v>
      </c>
      <c r="B10" s="97" t="s">
        <v>231</v>
      </c>
      <c r="C10" s="97" t="s">
        <v>704</v>
      </c>
      <c r="D10" s="47"/>
      <c r="E10" s="97" t="s">
        <v>562</v>
      </c>
      <c r="F10" s="97" t="s">
        <v>703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45056</v>
      </c>
      <c r="M10" s="90">
        <v>45058</v>
      </c>
      <c r="N10" s="91">
        <f>4603/2</f>
        <v>2301.5</v>
      </c>
      <c r="O10" s="91">
        <f>4603/2</f>
        <v>2301.5</v>
      </c>
      <c r="P10" s="91">
        <f t="shared" si="0"/>
        <v>4603</v>
      </c>
      <c r="Q10" s="77">
        <v>0</v>
      </c>
      <c r="R10" s="91">
        <v>0</v>
      </c>
      <c r="S10" s="77">
        <v>0</v>
      </c>
      <c r="T10" s="91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7"/>
    </row>
    <row r="11" spans="1:24" ht="15">
      <c r="A11" s="176" t="s">
        <v>253</v>
      </c>
      <c r="B11" s="176" t="s">
        <v>253</v>
      </c>
      <c r="C11" s="176" t="s">
        <v>387</v>
      </c>
      <c r="D11" s="167"/>
      <c r="E11" s="181" t="s">
        <v>50</v>
      </c>
      <c r="F11" s="171" t="s">
        <v>705</v>
      </c>
      <c r="G11" s="97" t="s">
        <v>36</v>
      </c>
      <c r="H11" s="97" t="s">
        <v>37</v>
      </c>
      <c r="I11" s="97" t="s">
        <v>38</v>
      </c>
      <c r="J11" s="97" t="s">
        <v>39</v>
      </c>
      <c r="K11" s="97" t="s">
        <v>40</v>
      </c>
      <c r="L11" s="94">
        <v>45063</v>
      </c>
      <c r="M11" s="94">
        <v>45064</v>
      </c>
      <c r="N11" s="163">
        <f>8486.12/2</f>
        <v>4243.0600000000004</v>
      </c>
      <c r="O11" s="163">
        <f>8486.12/2</f>
        <v>4243.0600000000004</v>
      </c>
      <c r="P11" s="163">
        <f t="shared" si="0"/>
        <v>8486.1200000000008</v>
      </c>
      <c r="Q11" s="174">
        <v>0</v>
      </c>
      <c r="R11" s="163">
        <v>0</v>
      </c>
      <c r="S11" s="174">
        <v>0</v>
      </c>
      <c r="T11" s="163">
        <v>0</v>
      </c>
      <c r="U11" s="174">
        <v>0</v>
      </c>
      <c r="V11" s="158">
        <f t="shared" ref="V11:V14" si="4">P11+U11</f>
        <v>8486.1200000000008</v>
      </c>
      <c r="W11" s="158">
        <f t="shared" ref="W11:W14" si="5">V11</f>
        <v>8486.1200000000008</v>
      </c>
      <c r="X11" s="157"/>
    </row>
    <row r="12" spans="1:24" ht="15">
      <c r="A12" s="176"/>
      <c r="B12" s="176"/>
      <c r="C12" s="176"/>
      <c r="D12" s="168"/>
      <c r="E12" s="183"/>
      <c r="F12" s="172"/>
      <c r="G12" s="97" t="s">
        <v>36</v>
      </c>
      <c r="H12" s="97" t="s">
        <v>39</v>
      </c>
      <c r="I12" s="97" t="s">
        <v>40</v>
      </c>
      <c r="J12" s="97" t="s">
        <v>127</v>
      </c>
      <c r="K12" s="97" t="s">
        <v>63</v>
      </c>
      <c r="L12" s="94">
        <v>45064</v>
      </c>
      <c r="M12" s="94">
        <v>45064</v>
      </c>
      <c r="N12" s="170"/>
      <c r="O12" s="170"/>
      <c r="P12" s="170"/>
      <c r="Q12" s="174"/>
      <c r="R12" s="170"/>
      <c r="S12" s="174"/>
      <c r="T12" s="170"/>
      <c r="U12" s="174"/>
      <c r="V12" s="175"/>
      <c r="W12" s="175"/>
      <c r="X12" s="157"/>
    </row>
    <row r="13" spans="1:24" ht="15">
      <c r="A13" s="176"/>
      <c r="B13" s="176"/>
      <c r="C13" s="176"/>
      <c r="D13" s="169"/>
      <c r="E13" s="182"/>
      <c r="F13" s="173"/>
      <c r="G13" s="97" t="s">
        <v>36</v>
      </c>
      <c r="H13" s="97" t="s">
        <v>127</v>
      </c>
      <c r="I13" s="97" t="s">
        <v>63</v>
      </c>
      <c r="J13" s="97" t="s">
        <v>37</v>
      </c>
      <c r="K13" s="97" t="s">
        <v>38</v>
      </c>
      <c r="L13" s="94">
        <v>45064</v>
      </c>
      <c r="M13" s="94">
        <v>45064</v>
      </c>
      <c r="N13" s="164"/>
      <c r="O13" s="164"/>
      <c r="P13" s="164"/>
      <c r="Q13" s="174"/>
      <c r="R13" s="164"/>
      <c r="S13" s="174"/>
      <c r="T13" s="164"/>
      <c r="U13" s="174"/>
      <c r="V13" s="159"/>
      <c r="W13" s="159"/>
      <c r="X13" s="157"/>
    </row>
    <row r="14" spans="1:24" ht="15">
      <c r="A14" s="181" t="s">
        <v>371</v>
      </c>
      <c r="B14" s="181" t="s">
        <v>371</v>
      </c>
      <c r="C14" s="176" t="s">
        <v>79</v>
      </c>
      <c r="D14" s="167"/>
      <c r="E14" s="181" t="s">
        <v>80</v>
      </c>
      <c r="F14" s="171" t="s">
        <v>705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94">
        <v>45063</v>
      </c>
      <c r="M14" s="94">
        <v>45064</v>
      </c>
      <c r="N14" s="163">
        <f>8375.42/2</f>
        <v>4187.71</v>
      </c>
      <c r="O14" s="163">
        <f>8375.42/2</f>
        <v>4187.71</v>
      </c>
      <c r="P14" s="163">
        <f>SUM(N14:O16)</f>
        <v>8375.42</v>
      </c>
      <c r="Q14" s="174">
        <v>0</v>
      </c>
      <c r="R14" s="163">
        <v>0</v>
      </c>
      <c r="S14" s="174">
        <v>0</v>
      </c>
      <c r="T14" s="163">
        <v>0</v>
      </c>
      <c r="U14" s="174">
        <v>0</v>
      </c>
      <c r="V14" s="158">
        <f t="shared" si="4"/>
        <v>8375.42</v>
      </c>
      <c r="W14" s="158">
        <f t="shared" si="5"/>
        <v>8375.42</v>
      </c>
      <c r="X14" s="157"/>
    </row>
    <row r="15" spans="1:24" ht="15">
      <c r="A15" s="183"/>
      <c r="B15" s="183"/>
      <c r="C15" s="176"/>
      <c r="D15" s="168"/>
      <c r="E15" s="183"/>
      <c r="F15" s="172"/>
      <c r="G15" s="97" t="s">
        <v>36</v>
      </c>
      <c r="H15" s="97" t="s">
        <v>127</v>
      </c>
      <c r="I15" s="97" t="s">
        <v>40</v>
      </c>
      <c r="J15" s="97" t="s">
        <v>127</v>
      </c>
      <c r="K15" s="97" t="s">
        <v>63</v>
      </c>
      <c r="L15" s="94">
        <v>45064</v>
      </c>
      <c r="M15" s="94">
        <v>45064</v>
      </c>
      <c r="N15" s="170"/>
      <c r="O15" s="170"/>
      <c r="P15" s="170"/>
      <c r="Q15" s="174"/>
      <c r="R15" s="170"/>
      <c r="S15" s="174"/>
      <c r="T15" s="170"/>
      <c r="U15" s="174"/>
      <c r="V15" s="175"/>
      <c r="W15" s="175"/>
      <c r="X15" s="157"/>
    </row>
    <row r="16" spans="1:24" ht="15">
      <c r="A16" s="182"/>
      <c r="B16" s="182"/>
      <c r="C16" s="176"/>
      <c r="D16" s="169"/>
      <c r="E16" s="182"/>
      <c r="F16" s="173"/>
      <c r="G16" s="97" t="s">
        <v>36</v>
      </c>
      <c r="H16" s="97" t="s">
        <v>39</v>
      </c>
      <c r="I16" s="97" t="s">
        <v>63</v>
      </c>
      <c r="J16" s="97" t="s">
        <v>116</v>
      </c>
      <c r="K16" s="97" t="s">
        <v>117</v>
      </c>
      <c r="L16" s="94">
        <v>45064</v>
      </c>
      <c r="M16" s="94">
        <v>45064</v>
      </c>
      <c r="N16" s="164"/>
      <c r="O16" s="164"/>
      <c r="P16" s="164"/>
      <c r="Q16" s="174"/>
      <c r="R16" s="164"/>
      <c r="S16" s="174"/>
      <c r="T16" s="164"/>
      <c r="U16" s="174"/>
      <c r="V16" s="159"/>
      <c r="W16" s="159"/>
      <c r="X16" s="157"/>
    </row>
    <row r="17" spans="1:24" ht="15">
      <c r="A17" s="181" t="s">
        <v>231</v>
      </c>
      <c r="B17" s="181" t="s">
        <v>231</v>
      </c>
      <c r="C17" s="176" t="s">
        <v>704</v>
      </c>
      <c r="D17" s="167"/>
      <c r="E17" s="181" t="s">
        <v>562</v>
      </c>
      <c r="F17" s="171" t="s">
        <v>705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4">
        <v>45063</v>
      </c>
      <c r="M17" s="94">
        <v>45064</v>
      </c>
      <c r="N17" s="163">
        <f>8219.66/2</f>
        <v>4109.83</v>
      </c>
      <c r="O17" s="163">
        <f>8219.66/2</f>
        <v>4109.83</v>
      </c>
      <c r="P17" s="163">
        <f>SUM(N17:O19)</f>
        <v>8219.66</v>
      </c>
      <c r="Q17" s="174">
        <v>0</v>
      </c>
      <c r="R17" s="163">
        <v>0</v>
      </c>
      <c r="S17" s="174">
        <v>0</v>
      </c>
      <c r="T17" s="163">
        <v>0</v>
      </c>
      <c r="U17" s="174">
        <v>0</v>
      </c>
      <c r="V17" s="158">
        <f t="shared" ref="V17" si="6">P17+U17</f>
        <v>8219.66</v>
      </c>
      <c r="W17" s="158">
        <f t="shared" ref="W17" si="7">V17</f>
        <v>8219.66</v>
      </c>
      <c r="X17" s="157"/>
    </row>
    <row r="18" spans="1:24" ht="15">
      <c r="A18" s="183"/>
      <c r="B18" s="183"/>
      <c r="C18" s="176"/>
      <c r="D18" s="168"/>
      <c r="E18" s="183"/>
      <c r="F18" s="172"/>
      <c r="G18" s="97" t="s">
        <v>36</v>
      </c>
      <c r="H18" s="97" t="s">
        <v>39</v>
      </c>
      <c r="I18" s="97" t="s">
        <v>40</v>
      </c>
      <c r="J18" s="97" t="s">
        <v>127</v>
      </c>
      <c r="K18" s="97" t="s">
        <v>63</v>
      </c>
      <c r="L18" s="94">
        <v>45064</v>
      </c>
      <c r="M18" s="94">
        <v>45064</v>
      </c>
      <c r="N18" s="170"/>
      <c r="O18" s="170"/>
      <c r="P18" s="170"/>
      <c r="Q18" s="174"/>
      <c r="R18" s="170"/>
      <c r="S18" s="174"/>
      <c r="T18" s="170"/>
      <c r="U18" s="174"/>
      <c r="V18" s="175"/>
      <c r="W18" s="175"/>
      <c r="X18" s="157"/>
    </row>
    <row r="19" spans="1:24" ht="15">
      <c r="A19" s="182"/>
      <c r="B19" s="182"/>
      <c r="C19" s="176"/>
      <c r="D19" s="169"/>
      <c r="E19" s="182"/>
      <c r="F19" s="173"/>
      <c r="G19" s="97" t="s">
        <v>36</v>
      </c>
      <c r="H19" s="97" t="s">
        <v>127</v>
      </c>
      <c r="I19" s="97" t="s">
        <v>63</v>
      </c>
      <c r="J19" s="97" t="s">
        <v>37</v>
      </c>
      <c r="K19" s="97" t="s">
        <v>38</v>
      </c>
      <c r="L19" s="94">
        <v>45064</v>
      </c>
      <c r="M19" s="94">
        <v>45064</v>
      </c>
      <c r="N19" s="164"/>
      <c r="O19" s="164"/>
      <c r="P19" s="164"/>
      <c r="Q19" s="174"/>
      <c r="R19" s="164"/>
      <c r="S19" s="174"/>
      <c r="T19" s="164"/>
      <c r="U19" s="174"/>
      <c r="V19" s="159"/>
      <c r="W19" s="159"/>
      <c r="X19" s="157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30">
      <c r="A5" s="97" t="s">
        <v>371</v>
      </c>
      <c r="B5" s="97" t="s">
        <v>371</v>
      </c>
      <c r="C5" s="97" t="s">
        <v>79</v>
      </c>
      <c r="D5" s="47">
        <v>0</v>
      </c>
      <c r="E5" s="98" t="s">
        <v>80</v>
      </c>
      <c r="F5" s="97" t="s">
        <v>706</v>
      </c>
      <c r="G5" s="97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90">
        <v>45096</v>
      </c>
      <c r="M5" s="90">
        <v>45099</v>
      </c>
      <c r="N5" s="91">
        <f>2027.55/2</f>
        <v>1013.775</v>
      </c>
      <c r="O5" s="91">
        <f>2027.55/2</f>
        <v>1013.775</v>
      </c>
      <c r="P5" s="91">
        <f t="shared" ref="P5:P15" si="0">SUM(N5:O5)</f>
        <v>2027.55</v>
      </c>
      <c r="Q5" s="77">
        <v>0</v>
      </c>
      <c r="R5" s="91">
        <v>0</v>
      </c>
      <c r="S5" s="77">
        <v>0</v>
      </c>
      <c r="T5" s="91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7"/>
    </row>
    <row r="6" spans="1:24" s="92" customFormat="1" ht="15">
      <c r="A6" s="97" t="s">
        <v>253</v>
      </c>
      <c r="B6" s="97" t="s">
        <v>212</v>
      </c>
      <c r="C6" s="97" t="s">
        <v>41</v>
      </c>
      <c r="D6" s="47">
        <v>129</v>
      </c>
      <c r="E6" s="97" t="s">
        <v>42</v>
      </c>
      <c r="F6" s="97" t="s">
        <v>707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45090</v>
      </c>
      <c r="M6" s="90">
        <v>45093</v>
      </c>
      <c r="N6" s="91">
        <f>3267.13/2</f>
        <v>1633.5650000000001</v>
      </c>
      <c r="O6" s="91">
        <f>3267.13/2</f>
        <v>1633.5650000000001</v>
      </c>
      <c r="P6" s="91">
        <f t="shared" si="0"/>
        <v>3267.13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708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45088</v>
      </c>
      <c r="M7" s="90">
        <v>45090</v>
      </c>
      <c r="N7" s="91">
        <f>1290.96/2</f>
        <v>645.48</v>
      </c>
      <c r="O7" s="91">
        <f>1290.96/2</f>
        <v>645.48</v>
      </c>
      <c r="P7" s="91">
        <f t="shared" si="0"/>
        <v>1290.96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708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45088</v>
      </c>
      <c r="M8" s="90">
        <v>45090</v>
      </c>
      <c r="N8" s="91">
        <f>1290.96/2</f>
        <v>645.48</v>
      </c>
      <c r="O8" s="91">
        <f>1290.96/2</f>
        <v>645.48</v>
      </c>
      <c r="P8" s="91">
        <f t="shared" si="0"/>
        <v>1290.96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710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45091</v>
      </c>
      <c r="M9" s="90">
        <v>45092</v>
      </c>
      <c r="N9" s="91">
        <f>6397.34/2</f>
        <v>3198.67</v>
      </c>
      <c r="O9" s="91">
        <f>6397.34/2</f>
        <v>3198.67</v>
      </c>
      <c r="P9" s="91">
        <f t="shared" si="0"/>
        <v>6397.34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7"/>
    </row>
    <row r="10" spans="1:24" s="92" customFormat="1" ht="15">
      <c r="A10" s="97" t="s">
        <v>231</v>
      </c>
      <c r="B10" s="97" t="s">
        <v>711</v>
      </c>
      <c r="C10" s="97" t="s">
        <v>712</v>
      </c>
      <c r="D10" s="47">
        <v>0</v>
      </c>
      <c r="E10" s="97" t="s">
        <v>713</v>
      </c>
      <c r="F10" s="97" t="s">
        <v>714</v>
      </c>
      <c r="G10" s="97" t="s">
        <v>36</v>
      </c>
      <c r="H10" s="97" t="s">
        <v>39</v>
      </c>
      <c r="I10" s="97" t="s">
        <v>40</v>
      </c>
      <c r="J10" s="97" t="s">
        <v>37</v>
      </c>
      <c r="K10" s="97" t="s">
        <v>38</v>
      </c>
      <c r="L10" s="90">
        <v>45103</v>
      </c>
      <c r="M10" s="90">
        <v>45103</v>
      </c>
      <c r="N10" s="91">
        <v>2364.62</v>
      </c>
      <c r="O10" s="91">
        <v>8486.1200000000008</v>
      </c>
      <c r="P10" s="91">
        <f t="shared" si="0"/>
        <v>10850.740000000002</v>
      </c>
      <c r="Q10" s="77">
        <v>0</v>
      </c>
      <c r="R10" s="91">
        <v>0</v>
      </c>
      <c r="S10" s="77">
        <v>0</v>
      </c>
      <c r="T10" s="91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7"/>
    </row>
    <row r="11" spans="1:24" s="92" customFormat="1" ht="15">
      <c r="A11" s="97" t="s">
        <v>231</v>
      </c>
      <c r="B11" s="97" t="s">
        <v>711</v>
      </c>
      <c r="C11" s="97" t="s">
        <v>715</v>
      </c>
      <c r="D11" s="47">
        <v>0</v>
      </c>
      <c r="E11" s="97" t="s">
        <v>713</v>
      </c>
      <c r="F11" s="97" t="s">
        <v>714</v>
      </c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90">
        <v>45103</v>
      </c>
      <c r="M11" s="90">
        <v>45103</v>
      </c>
      <c r="N11" s="91">
        <v>2364.62</v>
      </c>
      <c r="O11" s="91">
        <v>8486.1200000000008</v>
      </c>
      <c r="P11" s="91">
        <f t="shared" si="0"/>
        <v>10850.740000000002</v>
      </c>
      <c r="Q11" s="77">
        <v>0</v>
      </c>
      <c r="R11" s="91">
        <v>0</v>
      </c>
      <c r="S11" s="77">
        <v>0</v>
      </c>
      <c r="T11" s="91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7"/>
    </row>
    <row r="12" spans="1:24" s="92" customFormat="1" ht="15">
      <c r="A12" s="97" t="s">
        <v>231</v>
      </c>
      <c r="B12" s="97" t="s">
        <v>231</v>
      </c>
      <c r="C12" s="97" t="s">
        <v>704</v>
      </c>
      <c r="D12" s="47">
        <v>0</v>
      </c>
      <c r="E12" s="97" t="s">
        <v>562</v>
      </c>
      <c r="F12" s="97" t="s">
        <v>716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45105</v>
      </c>
      <c r="M12" s="90">
        <v>45107</v>
      </c>
      <c r="N12" s="91">
        <f>857.63/2</f>
        <v>428.815</v>
      </c>
      <c r="O12" s="91">
        <f>857.63/2</f>
        <v>428.815</v>
      </c>
      <c r="P12" s="91">
        <f t="shared" si="0"/>
        <v>857.63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7"/>
    </row>
    <row r="13" spans="1:24" s="92" customFormat="1" ht="15">
      <c r="A13" s="97" t="s">
        <v>231</v>
      </c>
      <c r="B13" s="97" t="s">
        <v>462</v>
      </c>
      <c r="C13" s="97" t="s">
        <v>401</v>
      </c>
      <c r="D13" s="47">
        <v>349</v>
      </c>
      <c r="E13" s="97" t="s">
        <v>403</v>
      </c>
      <c r="F13" s="97" t="s">
        <v>717</v>
      </c>
      <c r="G13" s="97" t="s">
        <v>36</v>
      </c>
      <c r="H13" s="97" t="s">
        <v>37</v>
      </c>
      <c r="I13" s="97" t="s">
        <v>38</v>
      </c>
      <c r="J13" s="97" t="s">
        <v>464</v>
      </c>
      <c r="K13" s="97" t="s">
        <v>425</v>
      </c>
      <c r="L13" s="90">
        <v>45076</v>
      </c>
      <c r="M13" s="90">
        <v>45079</v>
      </c>
      <c r="N13" s="91">
        <f>2382.9/2</f>
        <v>1191.45</v>
      </c>
      <c r="O13" s="91">
        <f>2382.9/2</f>
        <v>1191.45</v>
      </c>
      <c r="P13" s="91">
        <f t="shared" si="0"/>
        <v>2382.9</v>
      </c>
      <c r="Q13" s="77">
        <v>4</v>
      </c>
      <c r="R13" s="91">
        <v>120</v>
      </c>
      <c r="S13" s="77">
        <v>0</v>
      </c>
      <c r="T13" s="91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7"/>
    </row>
    <row r="14" spans="1:24" s="92" customFormat="1" ht="45">
      <c r="A14" s="97" t="s">
        <v>253</v>
      </c>
      <c r="B14" s="97" t="s">
        <v>259</v>
      </c>
      <c r="C14" s="97" t="s">
        <v>613</v>
      </c>
      <c r="D14" s="47">
        <v>372</v>
      </c>
      <c r="E14" s="98" t="s">
        <v>191</v>
      </c>
      <c r="F14" s="97" t="s">
        <v>718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45076</v>
      </c>
      <c r="M14" s="90">
        <v>45078</v>
      </c>
      <c r="N14" s="91">
        <f>5019.13/2</f>
        <v>2509.5650000000001</v>
      </c>
      <c r="O14" s="91">
        <f>5019.13/2</f>
        <v>2509.5650000000001</v>
      </c>
      <c r="P14" s="91">
        <f t="shared" si="0"/>
        <v>5019.13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704</v>
      </c>
      <c r="D15" s="47">
        <v>0</v>
      </c>
      <c r="E15" s="97" t="s">
        <v>562</v>
      </c>
      <c r="F15" s="97" t="s">
        <v>719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45077</v>
      </c>
      <c r="M15" s="90">
        <v>45078</v>
      </c>
      <c r="N15" s="91">
        <f>(5331.47+0.47)/2</f>
        <v>2665.9700000000003</v>
      </c>
      <c r="O15" s="91">
        <f>(5331.47+0.47)/2</f>
        <v>2665.9700000000003</v>
      </c>
      <c r="P15" s="91">
        <f t="shared" si="0"/>
        <v>5331.9400000000005</v>
      </c>
      <c r="Q15" s="77">
        <v>0</v>
      </c>
      <c r="R15" s="91">
        <v>0</v>
      </c>
      <c r="S15" s="77">
        <v>0</v>
      </c>
      <c r="T15" s="91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181" t="s">
        <v>371</v>
      </c>
      <c r="B5" s="181" t="s">
        <v>371</v>
      </c>
      <c r="C5" s="181" t="s">
        <v>79</v>
      </c>
      <c r="D5" s="181">
        <v>0</v>
      </c>
      <c r="E5" s="181" t="s">
        <v>80</v>
      </c>
      <c r="F5" s="181" t="s">
        <v>720</v>
      </c>
      <c r="G5" s="181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165">
        <v>45110</v>
      </c>
      <c r="M5" s="165">
        <v>45111</v>
      </c>
      <c r="N5" s="163">
        <f>3242.09/2</f>
        <v>1621.0450000000001</v>
      </c>
      <c r="O5" s="163">
        <f>3242.09/2</f>
        <v>1621.0450000000001</v>
      </c>
      <c r="P5" s="163">
        <f t="shared" ref="P5:P13" si="0">SUM(N5:O5)</f>
        <v>3242.09</v>
      </c>
      <c r="Q5" s="181">
        <v>0</v>
      </c>
      <c r="R5" s="181">
        <v>0</v>
      </c>
      <c r="S5" s="181">
        <v>0</v>
      </c>
      <c r="T5" s="181">
        <v>0</v>
      </c>
      <c r="U5" s="181">
        <f t="shared" ref="U5:U15" si="1">Q5*R5+S5*T5</f>
        <v>0</v>
      </c>
      <c r="V5" s="158">
        <f t="shared" ref="V5:V13" si="2">P5+U5</f>
        <v>3242.09</v>
      </c>
      <c r="W5" s="158">
        <f t="shared" ref="W5:W13" si="3">V5</f>
        <v>3242.09</v>
      </c>
      <c r="X5" s="181"/>
    </row>
    <row r="6" spans="1:24" s="92" customFormat="1" ht="15">
      <c r="A6" s="182"/>
      <c r="B6" s="182"/>
      <c r="C6" s="182"/>
      <c r="D6" s="182"/>
      <c r="E6" s="182"/>
      <c r="F6" s="182"/>
      <c r="G6" s="182"/>
      <c r="H6" s="97" t="s">
        <v>39</v>
      </c>
      <c r="I6" s="97" t="s">
        <v>40</v>
      </c>
      <c r="J6" s="97" t="s">
        <v>37</v>
      </c>
      <c r="K6" s="97" t="s">
        <v>38</v>
      </c>
      <c r="L6" s="166"/>
      <c r="M6" s="166"/>
      <c r="N6" s="164"/>
      <c r="O6" s="164"/>
      <c r="P6" s="164"/>
      <c r="Q6" s="182"/>
      <c r="R6" s="182"/>
      <c r="S6" s="182"/>
      <c r="T6" s="182"/>
      <c r="U6" s="182"/>
      <c r="V6" s="159"/>
      <c r="W6" s="159"/>
      <c r="X6" s="182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720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45110</v>
      </c>
      <c r="M7" s="90">
        <v>45111</v>
      </c>
      <c r="N7" s="95">
        <f>5098.83/2</f>
        <v>2549.415</v>
      </c>
      <c r="O7" s="95">
        <f>5098.83/2</f>
        <v>2549.415</v>
      </c>
      <c r="P7" s="95">
        <f t="shared" si="0"/>
        <v>5098.83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720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45110</v>
      </c>
      <c r="M8" s="90">
        <v>45111</v>
      </c>
      <c r="N8" s="95">
        <f>5098.83/2</f>
        <v>2549.415</v>
      </c>
      <c r="O8" s="95">
        <f>5098.83/2</f>
        <v>2549.415</v>
      </c>
      <c r="P8" s="95">
        <f t="shared" si="0"/>
        <v>5098.83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7"/>
    </row>
    <row r="9" spans="1:24" s="92" customFormat="1" ht="15">
      <c r="A9" s="97" t="s">
        <v>253</v>
      </c>
      <c r="B9" s="97" t="s">
        <v>212</v>
      </c>
      <c r="C9" s="97" t="s">
        <v>620</v>
      </c>
      <c r="D9" s="47">
        <v>365</v>
      </c>
      <c r="E9" s="97" t="s">
        <v>34</v>
      </c>
      <c r="F9" s="97" t="s">
        <v>721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45134</v>
      </c>
      <c r="M9" s="90">
        <v>45134</v>
      </c>
      <c r="N9" s="95">
        <f>1555.13/2</f>
        <v>777.56500000000005</v>
      </c>
      <c r="O9" s="95">
        <f>1555.13/2</f>
        <v>777.56500000000005</v>
      </c>
      <c r="P9" s="95">
        <f t="shared" si="0"/>
        <v>1555.13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7"/>
    </row>
    <row r="10" spans="1:24" s="92" customFormat="1" ht="15">
      <c r="A10" s="97" t="s">
        <v>253</v>
      </c>
      <c r="B10" s="97" t="s">
        <v>212</v>
      </c>
      <c r="C10" s="97" t="s">
        <v>270</v>
      </c>
      <c r="D10" s="47" t="s">
        <v>168</v>
      </c>
      <c r="E10" s="97" t="s">
        <v>599</v>
      </c>
      <c r="F10" s="97" t="s">
        <v>721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45134</v>
      </c>
      <c r="M10" s="90">
        <v>45134</v>
      </c>
      <c r="N10" s="95">
        <f>3264.36/2</f>
        <v>1632.18</v>
      </c>
      <c r="O10" s="95">
        <f>3264.36/2</f>
        <v>1632.18</v>
      </c>
      <c r="P10" s="95">
        <f t="shared" si="0"/>
        <v>3264.36</v>
      </c>
      <c r="Q10" s="77">
        <v>1</v>
      </c>
      <c r="R10" s="91">
        <v>120</v>
      </c>
      <c r="S10" s="77">
        <v>0</v>
      </c>
      <c r="T10" s="91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7"/>
    </row>
    <row r="11" spans="1:24" s="92" customFormat="1" ht="1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97" t="s">
        <v>722</v>
      </c>
      <c r="G11" s="97" t="s">
        <v>36</v>
      </c>
      <c r="H11" s="97" t="s">
        <v>37</v>
      </c>
      <c r="I11" s="97" t="s">
        <v>38</v>
      </c>
      <c r="J11" s="97" t="s">
        <v>464</v>
      </c>
      <c r="K11" s="97" t="s">
        <v>425</v>
      </c>
      <c r="L11" s="90">
        <v>45118</v>
      </c>
      <c r="M11" s="90">
        <v>45120</v>
      </c>
      <c r="N11" s="95">
        <v>1136.71</v>
      </c>
      <c r="O11" s="95">
        <v>1170.3800000000001</v>
      </c>
      <c r="P11" s="95">
        <f t="shared" si="0"/>
        <v>2307.09</v>
      </c>
      <c r="Q11" s="77">
        <v>0</v>
      </c>
      <c r="R11" s="91">
        <v>0</v>
      </c>
      <c r="S11" s="77">
        <v>0</v>
      </c>
      <c r="T11" s="91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7"/>
    </row>
    <row r="12" spans="1:24" s="92" customFormat="1" ht="30">
      <c r="A12" s="97" t="s">
        <v>231</v>
      </c>
      <c r="B12" s="97" t="s">
        <v>229</v>
      </c>
      <c r="C12" s="97" t="s">
        <v>653</v>
      </c>
      <c r="D12" s="47">
        <v>343</v>
      </c>
      <c r="E12" s="97" t="s">
        <v>723</v>
      </c>
      <c r="F12" s="98" t="s">
        <v>724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90">
        <v>45138</v>
      </c>
      <c r="M12" s="90">
        <v>45139</v>
      </c>
      <c r="N12" s="95">
        <v>0</v>
      </c>
      <c r="O12" s="95">
        <v>0</v>
      </c>
      <c r="P12" s="95">
        <f t="shared" si="0"/>
        <v>0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7"/>
    </row>
    <row r="13" spans="1:24" s="92" customFormat="1" ht="15">
      <c r="A13" s="181" t="s">
        <v>231</v>
      </c>
      <c r="B13" s="181" t="s">
        <v>231</v>
      </c>
      <c r="C13" s="181" t="s">
        <v>704</v>
      </c>
      <c r="D13" s="181">
        <v>0</v>
      </c>
      <c r="E13" s="181" t="s">
        <v>562</v>
      </c>
      <c r="F13" s="181" t="s">
        <v>75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184">
        <v>45138</v>
      </c>
      <c r="M13" s="184">
        <v>45142</v>
      </c>
      <c r="N13" s="163">
        <f>5571.04/3</f>
        <v>1857.0133333333333</v>
      </c>
      <c r="O13" s="163">
        <f>5571.04/3</f>
        <v>1857.0133333333333</v>
      </c>
      <c r="P13" s="163">
        <f t="shared" si="0"/>
        <v>3714.0266666666666</v>
      </c>
      <c r="Q13" s="181">
        <v>0</v>
      </c>
      <c r="R13" s="181">
        <v>0</v>
      </c>
      <c r="S13" s="181">
        <v>0</v>
      </c>
      <c r="T13" s="181">
        <v>0</v>
      </c>
      <c r="U13" s="181">
        <f t="shared" si="1"/>
        <v>0</v>
      </c>
      <c r="V13" s="158">
        <f t="shared" si="2"/>
        <v>3714.0266666666666</v>
      </c>
      <c r="W13" s="158">
        <f t="shared" si="3"/>
        <v>3714.0266666666666</v>
      </c>
      <c r="X13" s="181"/>
    </row>
    <row r="14" spans="1:24" s="92" customFormat="1" ht="15">
      <c r="A14" s="183"/>
      <c r="B14" s="183"/>
      <c r="C14" s="183"/>
      <c r="D14" s="183"/>
      <c r="E14" s="183"/>
      <c r="F14" s="183"/>
      <c r="G14" s="97" t="s">
        <v>36</v>
      </c>
      <c r="H14" s="97" t="s">
        <v>62</v>
      </c>
      <c r="I14" s="97" t="s">
        <v>63</v>
      </c>
      <c r="J14" s="97" t="s">
        <v>210</v>
      </c>
      <c r="K14" s="97" t="s">
        <v>725</v>
      </c>
      <c r="L14" s="183"/>
      <c r="M14" s="183"/>
      <c r="N14" s="170"/>
      <c r="O14" s="170"/>
      <c r="P14" s="170"/>
      <c r="Q14" s="183"/>
      <c r="R14" s="183"/>
      <c r="S14" s="183">
        <v>0</v>
      </c>
      <c r="T14" s="183">
        <v>0</v>
      </c>
      <c r="U14" s="183">
        <f t="shared" si="1"/>
        <v>0</v>
      </c>
      <c r="V14" s="175"/>
      <c r="W14" s="175"/>
      <c r="X14" s="183"/>
    </row>
    <row r="15" spans="1:24" s="92" customFormat="1" ht="15">
      <c r="A15" s="182"/>
      <c r="B15" s="182"/>
      <c r="C15" s="182"/>
      <c r="D15" s="182"/>
      <c r="E15" s="182"/>
      <c r="F15" s="182"/>
      <c r="G15" s="97" t="s">
        <v>36</v>
      </c>
      <c r="H15" s="97" t="s">
        <v>210</v>
      </c>
      <c r="I15" s="97" t="s">
        <v>725</v>
      </c>
      <c r="J15" s="97" t="s">
        <v>37</v>
      </c>
      <c r="K15" s="97" t="s">
        <v>38</v>
      </c>
      <c r="L15" s="182"/>
      <c r="M15" s="182"/>
      <c r="N15" s="164"/>
      <c r="O15" s="164"/>
      <c r="P15" s="164"/>
      <c r="Q15" s="182"/>
      <c r="R15" s="182"/>
      <c r="S15" s="182">
        <v>0</v>
      </c>
      <c r="T15" s="182">
        <v>0</v>
      </c>
      <c r="U15" s="182">
        <f t="shared" si="1"/>
        <v>0</v>
      </c>
      <c r="V15" s="159"/>
      <c r="W15" s="159"/>
      <c r="X15" s="182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43101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371</v>
      </c>
      <c r="B5" s="97" t="s">
        <v>371</v>
      </c>
      <c r="C5" s="97" t="s">
        <v>137</v>
      </c>
      <c r="D5" s="47">
        <v>202</v>
      </c>
      <c r="E5" s="97" t="s">
        <v>700</v>
      </c>
      <c r="F5" s="97" t="s">
        <v>726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45145</v>
      </c>
      <c r="M5" s="90">
        <v>45146</v>
      </c>
      <c r="N5" s="95">
        <f>1736.83/2</f>
        <v>868.41499999999996</v>
      </c>
      <c r="O5" s="95">
        <f>1736.83/2</f>
        <v>868.41499999999996</v>
      </c>
      <c r="P5" s="95">
        <f t="shared" ref="P5:P18" si="0">SUM(N5:O5)</f>
        <v>1736.83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727</v>
      </c>
      <c r="F6" s="97" t="s">
        <v>726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45145</v>
      </c>
      <c r="M6" s="90">
        <v>45146</v>
      </c>
      <c r="N6" s="95">
        <f t="shared" ref="N6:O7" si="4">1736.83/2</f>
        <v>868.41499999999996</v>
      </c>
      <c r="O6" s="95">
        <f t="shared" si="4"/>
        <v>868.41499999999996</v>
      </c>
      <c r="P6" s="95">
        <f t="shared" si="0"/>
        <v>1736.83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709</v>
      </c>
      <c r="F7" s="97" t="s">
        <v>726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45145</v>
      </c>
      <c r="M7" s="90">
        <v>45146</v>
      </c>
      <c r="N7" s="95">
        <f t="shared" si="4"/>
        <v>868.41499999999996</v>
      </c>
      <c r="O7" s="95">
        <f t="shared" si="4"/>
        <v>868.41499999999996</v>
      </c>
      <c r="P7" s="95">
        <f t="shared" si="0"/>
        <v>1736.83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7"/>
    </row>
    <row r="8" spans="1:24" s="92" customFormat="1" ht="15">
      <c r="A8" s="97" t="s">
        <v>253</v>
      </c>
      <c r="B8" s="97" t="s">
        <v>253</v>
      </c>
      <c r="C8" s="97" t="s">
        <v>387</v>
      </c>
      <c r="D8" s="47">
        <v>0</v>
      </c>
      <c r="E8" s="97" t="s">
        <v>50</v>
      </c>
      <c r="F8" s="97" t="s">
        <v>728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45146</v>
      </c>
      <c r="M8" s="90">
        <v>45147</v>
      </c>
      <c r="N8" s="95">
        <f>1736.83/2</f>
        <v>868.41499999999996</v>
      </c>
      <c r="O8" s="95">
        <f>1736.83/2</f>
        <v>868.41499999999996</v>
      </c>
      <c r="P8" s="95">
        <f t="shared" si="0"/>
        <v>1736.83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698</v>
      </c>
      <c r="F9" s="97" t="s">
        <v>728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45146</v>
      </c>
      <c r="M9" s="90">
        <v>45147</v>
      </c>
      <c r="N9" s="95">
        <f>4101.45/2</f>
        <v>2050.7249999999999</v>
      </c>
      <c r="O9" s="95">
        <f>4101.45/2</f>
        <v>2050.7249999999999</v>
      </c>
      <c r="P9" s="95">
        <f t="shared" si="0"/>
        <v>4101.45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7"/>
    </row>
    <row r="10" spans="1:24" s="92" customFormat="1" ht="15">
      <c r="A10" s="97" t="s">
        <v>231</v>
      </c>
      <c r="B10" s="97" t="s">
        <v>229</v>
      </c>
      <c r="C10" s="97" t="s">
        <v>729</v>
      </c>
      <c r="D10" s="47">
        <v>387</v>
      </c>
      <c r="E10" s="97" t="s">
        <v>248</v>
      </c>
      <c r="F10" s="97" t="s">
        <v>730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90">
        <v>45139</v>
      </c>
      <c r="M10" s="90">
        <v>45140</v>
      </c>
      <c r="N10" s="95">
        <f>2261.71/2</f>
        <v>1130.855</v>
      </c>
      <c r="O10" s="95">
        <f>2261.71/2</f>
        <v>1130.855</v>
      </c>
      <c r="P10" s="95">
        <f t="shared" si="0"/>
        <v>2261.71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730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90">
        <v>45139</v>
      </c>
      <c r="M11" s="90">
        <v>45140</v>
      </c>
      <c r="N11" s="95">
        <f>3504.47/2</f>
        <v>1752.2349999999999</v>
      </c>
      <c r="O11" s="95">
        <f>3504.47/2</f>
        <v>1752.2349999999999</v>
      </c>
      <c r="P11" s="95">
        <f t="shared" si="0"/>
        <v>3504.47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97" t="s">
        <v>728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45146</v>
      </c>
      <c r="M12" s="90">
        <v>45148</v>
      </c>
      <c r="N12" s="95">
        <f>2023.5/2</f>
        <v>1011.75</v>
      </c>
      <c r="O12" s="95">
        <f>2023.5/2</f>
        <v>1011.75</v>
      </c>
      <c r="P12" s="95">
        <f t="shared" si="0"/>
        <v>2023.5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7"/>
    </row>
    <row r="13" spans="1:24" s="92" customFormat="1" ht="15">
      <c r="A13" s="97" t="s">
        <v>253</v>
      </c>
      <c r="B13" s="97" t="s">
        <v>253</v>
      </c>
      <c r="C13" s="97" t="s">
        <v>387</v>
      </c>
      <c r="D13" s="47">
        <v>0</v>
      </c>
      <c r="E13" s="97" t="s">
        <v>50</v>
      </c>
      <c r="F13" s="97" t="s">
        <v>732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733</v>
      </c>
      <c r="L13" s="90">
        <v>45155</v>
      </c>
      <c r="M13" s="90">
        <v>45156</v>
      </c>
      <c r="N13" s="95">
        <f>2404.66/2</f>
        <v>1202.33</v>
      </c>
      <c r="O13" s="95">
        <f>2404.66/2</f>
        <v>1202.33</v>
      </c>
      <c r="P13" s="95">
        <f t="shared" si="0"/>
        <v>2404.66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7"/>
    </row>
    <row r="14" spans="1:24" s="92" customFormat="1" ht="15">
      <c r="A14" s="97" t="s">
        <v>253</v>
      </c>
      <c r="B14" s="97" t="s">
        <v>253</v>
      </c>
      <c r="C14" s="97" t="s">
        <v>675</v>
      </c>
      <c r="D14" s="47">
        <v>383</v>
      </c>
      <c r="E14" s="97" t="s">
        <v>698</v>
      </c>
      <c r="F14" s="97" t="s">
        <v>732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733</v>
      </c>
      <c r="L14" s="90">
        <v>45155</v>
      </c>
      <c r="M14" s="90">
        <v>45156</v>
      </c>
      <c r="N14" s="95">
        <f>2404.66/2</f>
        <v>1202.33</v>
      </c>
      <c r="O14" s="95">
        <f>2404.66/2</f>
        <v>1202.33</v>
      </c>
      <c r="P14" s="95">
        <f t="shared" si="0"/>
        <v>2404.66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7"/>
    </row>
    <row r="15" spans="1:24" s="92" customFormat="1" ht="15">
      <c r="A15" s="97" t="s">
        <v>253</v>
      </c>
      <c r="B15" s="97" t="s">
        <v>212</v>
      </c>
      <c r="C15" s="97" t="s">
        <v>620</v>
      </c>
      <c r="D15" s="47">
        <v>365</v>
      </c>
      <c r="E15" s="97" t="s">
        <v>34</v>
      </c>
      <c r="F15" s="97" t="s">
        <v>734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45152</v>
      </c>
      <c r="M15" s="90">
        <v>45152</v>
      </c>
      <c r="N15" s="95">
        <f>1248.3/2</f>
        <v>624.15</v>
      </c>
      <c r="O15" s="95">
        <f>1248.3/2</f>
        <v>624.15</v>
      </c>
      <c r="P15" s="95">
        <f t="shared" si="0"/>
        <v>1248.3</v>
      </c>
      <c r="Q15" s="77">
        <v>1</v>
      </c>
      <c r="R15" s="91">
        <v>120</v>
      </c>
      <c r="S15" s="77">
        <v>0</v>
      </c>
      <c r="T15" s="91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7"/>
    </row>
    <row r="16" spans="1:24" s="92" customFormat="1" ht="15">
      <c r="A16" s="97" t="s">
        <v>253</v>
      </c>
      <c r="B16" s="97" t="s">
        <v>212</v>
      </c>
      <c r="C16" s="97" t="s">
        <v>270</v>
      </c>
      <c r="D16" s="47" t="s">
        <v>168</v>
      </c>
      <c r="E16" s="97" t="s">
        <v>599</v>
      </c>
      <c r="F16" s="97" t="s">
        <v>734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45152</v>
      </c>
      <c r="M16" s="90">
        <v>45152</v>
      </c>
      <c r="N16" s="95">
        <f>1248.3/2</f>
        <v>624.15</v>
      </c>
      <c r="O16" s="95">
        <f>1248.3/2</f>
        <v>624.15</v>
      </c>
      <c r="P16" s="95">
        <f t="shared" si="0"/>
        <v>1248.3</v>
      </c>
      <c r="Q16" s="77">
        <v>1</v>
      </c>
      <c r="R16" s="91">
        <v>120</v>
      </c>
      <c r="S16" s="77">
        <v>0</v>
      </c>
      <c r="T16" s="91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7"/>
    </row>
    <row r="17" spans="1:24" s="92" customFormat="1" ht="15">
      <c r="A17" s="97" t="s">
        <v>231</v>
      </c>
      <c r="B17" s="97" t="s">
        <v>221</v>
      </c>
      <c r="C17" s="97" t="s">
        <v>54</v>
      </c>
      <c r="D17" s="47">
        <v>56</v>
      </c>
      <c r="E17" s="97" t="s">
        <v>610</v>
      </c>
      <c r="F17" s="97" t="s">
        <v>735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0">
        <v>45161</v>
      </c>
      <c r="M17" s="90">
        <v>45162</v>
      </c>
      <c r="N17" s="95">
        <f>3442.83/2</f>
        <v>1721.415</v>
      </c>
      <c r="O17" s="95">
        <f>3442.83/2</f>
        <v>1721.415</v>
      </c>
      <c r="P17" s="95">
        <f t="shared" si="0"/>
        <v>3442.83</v>
      </c>
      <c r="Q17" s="77">
        <v>0</v>
      </c>
      <c r="R17" s="91">
        <v>120</v>
      </c>
      <c r="S17" s="77">
        <v>0</v>
      </c>
      <c r="T17" s="91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7"/>
    </row>
    <row r="18" spans="1:24" s="92" customFormat="1" ht="15">
      <c r="A18" s="97" t="s">
        <v>253</v>
      </c>
      <c r="B18" s="97" t="s">
        <v>253</v>
      </c>
      <c r="C18" s="97" t="s">
        <v>387</v>
      </c>
      <c r="D18" s="47">
        <v>0</v>
      </c>
      <c r="E18" s="97" t="s">
        <v>50</v>
      </c>
      <c r="F18" s="97" t="s">
        <v>735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45161</v>
      </c>
      <c r="M18" s="90">
        <v>45162</v>
      </c>
      <c r="N18" s="95">
        <f>3442.83/2</f>
        <v>1721.415</v>
      </c>
      <c r="O18" s="95">
        <f>3442.83/2</f>
        <v>1721.415</v>
      </c>
      <c r="P18" s="95">
        <f t="shared" si="0"/>
        <v>3442.83</v>
      </c>
      <c r="Q18" s="77">
        <v>0</v>
      </c>
      <c r="R18" s="91">
        <v>120</v>
      </c>
      <c r="S18" s="77">
        <v>0</v>
      </c>
      <c r="T18" s="91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371</v>
      </c>
      <c r="B5" s="185" t="s">
        <v>240</v>
      </c>
      <c r="C5" s="97" t="s">
        <v>448</v>
      </c>
      <c r="D5" s="47">
        <v>336</v>
      </c>
      <c r="E5" s="97" t="s">
        <v>727</v>
      </c>
      <c r="F5" s="97" t="s">
        <v>736</v>
      </c>
      <c r="G5" s="97" t="s">
        <v>36</v>
      </c>
      <c r="H5" s="97" t="s">
        <v>37</v>
      </c>
      <c r="I5" s="97" t="s">
        <v>38</v>
      </c>
      <c r="J5" s="97" t="s">
        <v>199</v>
      </c>
      <c r="K5" s="97" t="s">
        <v>200</v>
      </c>
      <c r="L5" s="90">
        <v>45194</v>
      </c>
      <c r="M5" s="90">
        <v>45197</v>
      </c>
      <c r="N5" s="95">
        <f>4105.03/2</f>
        <v>2052.5149999999999</v>
      </c>
      <c r="O5" s="95">
        <f>4105.03/2</f>
        <v>2052.5149999999999</v>
      </c>
      <c r="P5" s="95">
        <f t="shared" ref="P5:P24" si="0">SUM(N5:O5)</f>
        <v>4105.03</v>
      </c>
      <c r="Q5" s="77">
        <v>4</v>
      </c>
      <c r="R5" s="91">
        <v>120</v>
      </c>
      <c r="S5" s="77">
        <v>0</v>
      </c>
      <c r="T5" s="91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7"/>
    </row>
    <row r="6" spans="1:24" s="92" customFormat="1" ht="15">
      <c r="A6" s="97" t="s">
        <v>371</v>
      </c>
      <c r="B6" s="185" t="s">
        <v>240</v>
      </c>
      <c r="C6" s="97" t="s">
        <v>737</v>
      </c>
      <c r="D6" s="47">
        <v>361</v>
      </c>
      <c r="E6" s="97" t="s">
        <v>60</v>
      </c>
      <c r="F6" s="97" t="s">
        <v>736</v>
      </c>
      <c r="G6" s="97" t="s">
        <v>36</v>
      </c>
      <c r="H6" s="97" t="s">
        <v>37</v>
      </c>
      <c r="I6" s="97" t="s">
        <v>38</v>
      </c>
      <c r="J6" s="97" t="s">
        <v>199</v>
      </c>
      <c r="K6" s="97" t="s">
        <v>200</v>
      </c>
      <c r="L6" s="90">
        <v>45194</v>
      </c>
      <c r="M6" s="90">
        <v>45197</v>
      </c>
      <c r="N6" s="95">
        <f>4105.03/2</f>
        <v>2052.5149999999999</v>
      </c>
      <c r="O6" s="95">
        <f>4105.03/2</f>
        <v>2052.5149999999999</v>
      </c>
      <c r="P6" s="95">
        <f t="shared" si="0"/>
        <v>4105.03</v>
      </c>
      <c r="Q6" s="77">
        <v>4</v>
      </c>
      <c r="R6" s="91">
        <v>12</v>
      </c>
      <c r="S6" s="77">
        <v>0</v>
      </c>
      <c r="T6" s="91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738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45181</v>
      </c>
      <c r="M7" s="90">
        <v>45184</v>
      </c>
      <c r="N7" s="95">
        <f>1429/2</f>
        <v>714.5</v>
      </c>
      <c r="O7" s="95">
        <f>1429/2</f>
        <v>714.5</v>
      </c>
      <c r="P7" s="95">
        <f t="shared" si="0"/>
        <v>1429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698</v>
      </c>
      <c r="F8" s="97" t="s">
        <v>738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45181</v>
      </c>
      <c r="M8" s="90">
        <v>45184</v>
      </c>
      <c r="N8" s="95">
        <f>1478.4/2</f>
        <v>739.2</v>
      </c>
      <c r="O8" s="95">
        <f>1478.4/2</f>
        <v>739.2</v>
      </c>
      <c r="P8" s="95">
        <f t="shared" si="0"/>
        <v>1478.4</v>
      </c>
      <c r="Q8" s="77">
        <v>4</v>
      </c>
      <c r="R8" s="91">
        <v>120</v>
      </c>
      <c r="S8" s="77">
        <v>0</v>
      </c>
      <c r="T8" s="91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738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45181</v>
      </c>
      <c r="M9" s="90">
        <v>45184</v>
      </c>
      <c r="N9" s="95">
        <v>2248.3000000000002</v>
      </c>
      <c r="O9" s="95">
        <v>1000</v>
      </c>
      <c r="P9" s="95">
        <f t="shared" si="0"/>
        <v>3248.3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7"/>
    </row>
    <row r="10" spans="1:24" s="92" customFormat="1" ht="15">
      <c r="A10" s="97" t="s">
        <v>231</v>
      </c>
      <c r="B10" s="97" t="s">
        <v>241</v>
      </c>
      <c r="C10" s="97" t="s">
        <v>701</v>
      </c>
      <c r="D10" s="47">
        <v>394</v>
      </c>
      <c r="E10" s="97" t="s">
        <v>702</v>
      </c>
      <c r="F10" s="97" t="s">
        <v>738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45181</v>
      </c>
      <c r="M10" s="90">
        <v>45184</v>
      </c>
      <c r="N10" s="95">
        <f>1292.4/2</f>
        <v>646.20000000000005</v>
      </c>
      <c r="O10" s="95">
        <f>1292.4/2</f>
        <v>646.20000000000005</v>
      </c>
      <c r="P10" s="95">
        <f t="shared" si="0"/>
        <v>1292.4000000000001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738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45181</v>
      </c>
      <c r="M11" s="90">
        <v>45184</v>
      </c>
      <c r="N11" s="95">
        <f>1292.4/2</f>
        <v>646.20000000000005</v>
      </c>
      <c r="O11" s="95">
        <f>1292.4/2</f>
        <v>646.20000000000005</v>
      </c>
      <c r="P11" s="95">
        <f t="shared" si="0"/>
        <v>1292.4000000000001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7"/>
    </row>
    <row r="12" spans="1:24" s="92" customFormat="1" ht="1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97" t="s">
        <v>739</v>
      </c>
      <c r="G12" s="97" t="s">
        <v>36</v>
      </c>
      <c r="H12" s="97" t="s">
        <v>37</v>
      </c>
      <c r="I12" s="97" t="s">
        <v>38</v>
      </c>
      <c r="J12" s="97" t="s">
        <v>39</v>
      </c>
      <c r="K12" s="97" t="s">
        <v>40</v>
      </c>
      <c r="L12" s="90">
        <v>45187</v>
      </c>
      <c r="M12" s="90">
        <v>45188</v>
      </c>
      <c r="N12" s="95">
        <f>1582.83/2</f>
        <v>791.41499999999996</v>
      </c>
      <c r="O12" s="95">
        <f>1582.83/2</f>
        <v>791.41499999999996</v>
      </c>
      <c r="P12" s="95">
        <f t="shared" si="0"/>
        <v>1582.83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7"/>
    </row>
    <row r="13" spans="1:24" s="92" customFormat="1" ht="15">
      <c r="A13" s="97" t="s">
        <v>253</v>
      </c>
      <c r="B13" s="97" t="s">
        <v>212</v>
      </c>
      <c r="C13" s="97" t="s">
        <v>404</v>
      </c>
      <c r="D13" s="47">
        <v>345</v>
      </c>
      <c r="E13" s="97" t="s">
        <v>406</v>
      </c>
      <c r="F13" s="97" t="s">
        <v>739</v>
      </c>
      <c r="G13" s="97" t="s">
        <v>36</v>
      </c>
      <c r="H13" s="97" t="s">
        <v>37</v>
      </c>
      <c r="I13" s="97" t="s">
        <v>38</v>
      </c>
      <c r="J13" s="97" t="s">
        <v>39</v>
      </c>
      <c r="K13" s="97" t="s">
        <v>40</v>
      </c>
      <c r="L13" s="90">
        <v>45187</v>
      </c>
      <c r="M13" s="90">
        <v>45188</v>
      </c>
      <c r="N13" s="95">
        <f>1758.83/2</f>
        <v>879.41499999999996</v>
      </c>
      <c r="O13" s="95">
        <f>1758.83/2</f>
        <v>879.41499999999996</v>
      </c>
      <c r="P13" s="95">
        <f t="shared" si="0"/>
        <v>1758.83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7"/>
    </row>
    <row r="14" spans="1:24" s="92" customFormat="1" ht="15">
      <c r="A14" s="97" t="s">
        <v>253</v>
      </c>
      <c r="B14" s="97" t="s">
        <v>322</v>
      </c>
      <c r="C14" s="97" t="s">
        <v>323</v>
      </c>
      <c r="D14" s="47">
        <v>204</v>
      </c>
      <c r="E14" s="97" t="s">
        <v>652</v>
      </c>
      <c r="F14" s="97" t="s">
        <v>740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414</v>
      </c>
      <c r="L14" s="90">
        <v>45188</v>
      </c>
      <c r="M14" s="90">
        <v>45189</v>
      </c>
      <c r="N14" s="95">
        <f>1507.43/2</f>
        <v>753.71500000000003</v>
      </c>
      <c r="O14" s="95">
        <f>1507.43/2</f>
        <v>753.71500000000003</v>
      </c>
      <c r="P14" s="95">
        <f t="shared" si="0"/>
        <v>1507.43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7"/>
    </row>
    <row r="15" spans="1:24" s="92" customFormat="1" ht="15">
      <c r="A15" s="97" t="s">
        <v>371</v>
      </c>
      <c r="B15" s="97" t="s">
        <v>371</v>
      </c>
      <c r="C15" s="97" t="s">
        <v>137</v>
      </c>
      <c r="D15" s="47">
        <v>202</v>
      </c>
      <c r="E15" s="97" t="s">
        <v>700</v>
      </c>
      <c r="F15" s="97" t="s">
        <v>741</v>
      </c>
      <c r="G15" s="97" t="s">
        <v>36</v>
      </c>
      <c r="H15" s="97" t="s">
        <v>37</v>
      </c>
      <c r="I15" s="97" t="s">
        <v>38</v>
      </c>
      <c r="J15" s="97" t="s">
        <v>39</v>
      </c>
      <c r="K15" s="97" t="s">
        <v>40</v>
      </c>
      <c r="L15" s="90">
        <v>45181</v>
      </c>
      <c r="M15" s="90">
        <v>45182</v>
      </c>
      <c r="N15" s="95">
        <f>3435.31/2</f>
        <v>1717.655</v>
      </c>
      <c r="O15" s="95">
        <f>3435.31/2</f>
        <v>1717.655</v>
      </c>
      <c r="P15" s="95">
        <f t="shared" si="0"/>
        <v>3435.31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7"/>
    </row>
    <row r="16" spans="1:24" s="92" customFormat="1" ht="15">
      <c r="A16" s="97" t="s">
        <v>231</v>
      </c>
      <c r="B16" s="97" t="s">
        <v>221</v>
      </c>
      <c r="C16" s="97" t="s">
        <v>54</v>
      </c>
      <c r="D16" s="47">
        <v>56</v>
      </c>
      <c r="E16" s="97" t="s">
        <v>610</v>
      </c>
      <c r="F16" s="97" t="s">
        <v>742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45173</v>
      </c>
      <c r="M16" s="90">
        <v>45174</v>
      </c>
      <c r="N16" s="95">
        <f>3863.08/2</f>
        <v>1931.54</v>
      </c>
      <c r="O16" s="95">
        <f>3863.08/2</f>
        <v>1931.54</v>
      </c>
      <c r="P16" s="95">
        <f t="shared" si="0"/>
        <v>3863.08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7"/>
    </row>
    <row r="17" spans="1:24" s="92" customFormat="1" ht="15">
      <c r="A17" s="97" t="s">
        <v>231</v>
      </c>
      <c r="B17" s="97" t="s">
        <v>229</v>
      </c>
      <c r="C17" s="97" t="s">
        <v>65</v>
      </c>
      <c r="D17" s="47">
        <v>195</v>
      </c>
      <c r="E17" s="97" t="s">
        <v>743</v>
      </c>
      <c r="F17" s="97" t="s">
        <v>744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391</v>
      </c>
      <c r="L17" s="90">
        <v>45180</v>
      </c>
      <c r="M17" s="90">
        <v>45181</v>
      </c>
      <c r="N17" s="95">
        <f>2142.13/2</f>
        <v>1071.0650000000001</v>
      </c>
      <c r="O17" s="95">
        <f>2142.13/2</f>
        <v>1071.0650000000001</v>
      </c>
      <c r="P17" s="95">
        <f t="shared" si="0"/>
        <v>2142.13</v>
      </c>
      <c r="Q17" s="77">
        <v>2</v>
      </c>
      <c r="R17" s="91">
        <v>120</v>
      </c>
      <c r="S17" s="77">
        <v>0</v>
      </c>
      <c r="T17" s="91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7"/>
    </row>
    <row r="18" spans="1:24" s="92" customFormat="1" ht="15">
      <c r="A18" s="97" t="s">
        <v>371</v>
      </c>
      <c r="B18" s="97" t="s">
        <v>226</v>
      </c>
      <c r="C18" s="97" t="s">
        <v>46</v>
      </c>
      <c r="D18" s="47">
        <v>232</v>
      </c>
      <c r="E18" s="97" t="s">
        <v>47</v>
      </c>
      <c r="F18" s="97" t="s">
        <v>745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45189</v>
      </c>
      <c r="M18" s="90">
        <v>45190</v>
      </c>
      <c r="N18" s="95">
        <f>2455.83/2</f>
        <v>1227.915</v>
      </c>
      <c r="O18" s="95">
        <f>2455.83/2</f>
        <v>1227.915</v>
      </c>
      <c r="P18" s="95">
        <f t="shared" si="0"/>
        <v>2455.83</v>
      </c>
      <c r="Q18" s="77">
        <v>2</v>
      </c>
      <c r="R18" s="91">
        <v>120</v>
      </c>
      <c r="S18" s="77">
        <v>0</v>
      </c>
      <c r="T18" s="91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7"/>
    </row>
    <row r="19" spans="1:24" s="92" customFormat="1" ht="1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97" t="s">
        <v>747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45187</v>
      </c>
      <c r="M19" s="90">
        <v>45188</v>
      </c>
      <c r="N19" s="95">
        <f>3131.42/2</f>
        <v>1565.71</v>
      </c>
      <c r="O19" s="95">
        <f>3131.42/2</f>
        <v>1565.71</v>
      </c>
      <c r="P19" s="95">
        <f t="shared" si="0"/>
        <v>3131.42</v>
      </c>
      <c r="Q19" s="77">
        <v>2</v>
      </c>
      <c r="R19" s="91">
        <v>120</v>
      </c>
      <c r="S19" s="77">
        <v>0</v>
      </c>
      <c r="T19" s="91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7"/>
    </row>
    <row r="20" spans="1:24" s="92" customFormat="1" ht="15">
      <c r="A20" s="97" t="s">
        <v>371</v>
      </c>
      <c r="B20" s="185" t="s">
        <v>240</v>
      </c>
      <c r="C20" s="97" t="s">
        <v>140</v>
      </c>
      <c r="D20" s="47">
        <v>230</v>
      </c>
      <c r="E20" s="97" t="s">
        <v>709</v>
      </c>
      <c r="F20" s="97" t="s">
        <v>748</v>
      </c>
      <c r="G20" s="97" t="s">
        <v>36</v>
      </c>
      <c r="H20" s="97" t="s">
        <v>37</v>
      </c>
      <c r="I20" s="97" t="s">
        <v>38</v>
      </c>
      <c r="J20" s="97" t="s">
        <v>39</v>
      </c>
      <c r="K20" s="97" t="s">
        <v>40</v>
      </c>
      <c r="L20" s="90">
        <v>45186</v>
      </c>
      <c r="M20" s="90">
        <v>45188</v>
      </c>
      <c r="N20" s="95">
        <f>(3131.42+375)/2</f>
        <v>1753.21</v>
      </c>
      <c r="O20" s="95">
        <f>(3131.42+375)/2</f>
        <v>1753.21</v>
      </c>
      <c r="P20" s="95">
        <f t="shared" si="0"/>
        <v>3506.42</v>
      </c>
      <c r="Q20" s="77">
        <v>3</v>
      </c>
      <c r="R20" s="91">
        <v>120</v>
      </c>
      <c r="S20" s="77">
        <v>0</v>
      </c>
      <c r="T20" s="91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7"/>
    </row>
    <row r="21" spans="1:24" s="92" customFormat="1" ht="15">
      <c r="A21" s="97" t="s">
        <v>231</v>
      </c>
      <c r="B21" s="97" t="s">
        <v>229</v>
      </c>
      <c r="C21" s="97" t="s">
        <v>173</v>
      </c>
      <c r="D21" s="47">
        <v>127</v>
      </c>
      <c r="E21" s="97" t="s">
        <v>749</v>
      </c>
      <c r="F21" s="97" t="s">
        <v>750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391</v>
      </c>
      <c r="L21" s="90">
        <v>45180</v>
      </c>
      <c r="M21" s="90">
        <v>45181</v>
      </c>
      <c r="N21" s="95">
        <f>2142.13/2</f>
        <v>1071.0650000000001</v>
      </c>
      <c r="O21" s="95">
        <f>2142.13/2</f>
        <v>1071.0650000000001</v>
      </c>
      <c r="P21" s="95">
        <f t="shared" si="0"/>
        <v>2142.13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7"/>
    </row>
    <row r="22" spans="1:24" s="92" customFormat="1" ht="15">
      <c r="A22" s="97" t="s">
        <v>231</v>
      </c>
      <c r="B22" s="97" t="s">
        <v>231</v>
      </c>
      <c r="C22" s="97" t="s">
        <v>704</v>
      </c>
      <c r="D22" s="47">
        <v>0</v>
      </c>
      <c r="E22" s="97" t="s">
        <v>562</v>
      </c>
      <c r="F22" s="97" t="s">
        <v>75</v>
      </c>
      <c r="G22" s="97" t="s">
        <v>36</v>
      </c>
      <c r="H22" s="97" t="s">
        <v>37</v>
      </c>
      <c r="I22" s="97" t="s">
        <v>38</v>
      </c>
      <c r="J22" s="97" t="s">
        <v>464</v>
      </c>
      <c r="K22" s="97" t="s">
        <v>425</v>
      </c>
      <c r="L22" s="90">
        <v>45179</v>
      </c>
      <c r="M22" s="90">
        <v>45180</v>
      </c>
      <c r="N22" s="95">
        <f>5340.73/2</f>
        <v>2670.3649999999998</v>
      </c>
      <c r="O22" s="95">
        <f>5340.73/2</f>
        <v>2670.3649999999998</v>
      </c>
      <c r="P22" s="95">
        <f t="shared" si="0"/>
        <v>5340.73</v>
      </c>
      <c r="Q22" s="77">
        <v>0</v>
      </c>
      <c r="R22" s="91">
        <v>0</v>
      </c>
      <c r="S22" s="77">
        <v>0</v>
      </c>
      <c r="T22" s="91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7"/>
    </row>
    <row r="23" spans="1:24" s="92" customFormat="1" ht="15">
      <c r="A23" s="97" t="s">
        <v>231</v>
      </c>
      <c r="B23" s="97" t="s">
        <v>231</v>
      </c>
      <c r="C23" s="97" t="s">
        <v>704</v>
      </c>
      <c r="D23" s="47">
        <v>0</v>
      </c>
      <c r="E23" s="97" t="s">
        <v>562</v>
      </c>
      <c r="F23" s="97" t="s">
        <v>751</v>
      </c>
      <c r="G23" s="97" t="s">
        <v>36</v>
      </c>
      <c r="H23" s="97" t="s">
        <v>37</v>
      </c>
      <c r="I23" s="97" t="s">
        <v>38</v>
      </c>
      <c r="J23" s="97" t="s">
        <v>148</v>
      </c>
      <c r="K23" s="97" t="s">
        <v>149</v>
      </c>
      <c r="L23" s="90">
        <v>45196</v>
      </c>
      <c r="M23" s="90">
        <v>45198</v>
      </c>
      <c r="N23" s="95">
        <f>1084.7/2</f>
        <v>542.35</v>
      </c>
      <c r="O23" s="95">
        <f>1084.7/2</f>
        <v>542.35</v>
      </c>
      <c r="P23" s="95">
        <f t="shared" si="0"/>
        <v>1084.7</v>
      </c>
      <c r="Q23" s="77">
        <v>0</v>
      </c>
      <c r="R23" s="91">
        <v>0</v>
      </c>
      <c r="S23" s="77">
        <v>0</v>
      </c>
      <c r="T23" s="91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7"/>
    </row>
    <row r="24" spans="1:24" s="92" customFormat="1" ht="15">
      <c r="A24" s="97" t="s">
        <v>371</v>
      </c>
      <c r="B24" s="97" t="s">
        <v>371</v>
      </c>
      <c r="C24" s="97" t="s">
        <v>79</v>
      </c>
      <c r="D24" s="47">
        <v>0</v>
      </c>
      <c r="E24" s="97" t="s">
        <v>80</v>
      </c>
      <c r="F24" s="97" t="s">
        <v>161</v>
      </c>
      <c r="G24" s="97" t="s">
        <v>36</v>
      </c>
      <c r="H24" s="97" t="s">
        <v>37</v>
      </c>
      <c r="I24" s="97" t="s">
        <v>38</v>
      </c>
      <c r="J24" s="97" t="s">
        <v>39</v>
      </c>
      <c r="K24" s="97" t="s">
        <v>40</v>
      </c>
      <c r="L24" s="90">
        <v>45188</v>
      </c>
      <c r="M24" s="90">
        <v>45189</v>
      </c>
      <c r="N24" s="95">
        <f>2870.29/2</f>
        <v>1435.145</v>
      </c>
      <c r="O24" s="95">
        <f>2870.29/2</f>
        <v>1435.145</v>
      </c>
      <c r="P24" s="95">
        <f t="shared" si="0"/>
        <v>2870.29</v>
      </c>
      <c r="Q24" s="77">
        <v>0</v>
      </c>
      <c r="R24" s="91">
        <v>0</v>
      </c>
      <c r="S24" s="77">
        <v>0</v>
      </c>
      <c r="T24" s="91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7"/>
    </row>
    <row r="25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5" sqref="C5:E30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371</v>
      </c>
      <c r="B5" s="185" t="s">
        <v>273</v>
      </c>
      <c r="C5" s="97" t="s">
        <v>752</v>
      </c>
      <c r="D5" s="47">
        <v>384</v>
      </c>
      <c r="E5" s="97" t="s">
        <v>753</v>
      </c>
      <c r="F5" s="97" t="s">
        <v>754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45225</v>
      </c>
      <c r="M5" s="90">
        <v>45226</v>
      </c>
      <c r="N5" s="95">
        <f>1857.25/2</f>
        <v>928.625</v>
      </c>
      <c r="O5" s="95">
        <f>1857.25/2</f>
        <v>928.625</v>
      </c>
      <c r="P5" s="95">
        <f t="shared" ref="P5:P30" si="0">SUM(N5:O5)</f>
        <v>1857.25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7"/>
    </row>
    <row r="6" spans="1:24" s="92" customFormat="1" ht="15">
      <c r="A6" s="97" t="s">
        <v>253</v>
      </c>
      <c r="B6" s="185" t="s">
        <v>288</v>
      </c>
      <c r="C6" s="97" t="s">
        <v>642</v>
      </c>
      <c r="D6" s="47">
        <v>252</v>
      </c>
      <c r="E6" s="98" t="s">
        <v>755</v>
      </c>
      <c r="F6" s="97" t="s">
        <v>756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45198</v>
      </c>
      <c r="M6" s="90">
        <v>45215</v>
      </c>
      <c r="N6" s="95">
        <f>1941.13/2</f>
        <v>970.56500000000005</v>
      </c>
      <c r="O6" s="95">
        <f>1941.13/2</f>
        <v>970.56500000000005</v>
      </c>
      <c r="P6" s="95">
        <f t="shared" si="0"/>
        <v>1941.13</v>
      </c>
      <c r="Q6" s="77">
        <v>18</v>
      </c>
      <c r="R6" s="91">
        <v>120</v>
      </c>
      <c r="S6" s="77">
        <v>0</v>
      </c>
      <c r="T6" s="91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7"/>
    </row>
    <row r="7" spans="1:24" s="92" customFormat="1" ht="30">
      <c r="A7" s="97" t="s">
        <v>371</v>
      </c>
      <c r="B7" s="185" t="s">
        <v>240</v>
      </c>
      <c r="C7" s="97" t="s">
        <v>140</v>
      </c>
      <c r="D7" s="47">
        <v>230</v>
      </c>
      <c r="E7" s="97" t="s">
        <v>709</v>
      </c>
      <c r="F7" s="98" t="s">
        <v>757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45216</v>
      </c>
      <c r="M7" s="90">
        <v>45219</v>
      </c>
      <c r="N7" s="95">
        <f>2164.49/2</f>
        <v>1082.2449999999999</v>
      </c>
      <c r="O7" s="95">
        <f>2164.49/2</f>
        <v>1082.2449999999999</v>
      </c>
      <c r="P7" s="95">
        <f t="shared" si="0"/>
        <v>2164.4899999999998</v>
      </c>
      <c r="Q7" s="77">
        <v>4</v>
      </c>
      <c r="R7" s="91">
        <v>120</v>
      </c>
      <c r="S7" s="77">
        <v>0</v>
      </c>
      <c r="T7" s="91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7"/>
    </row>
    <row r="8" spans="1:24" s="92" customFormat="1" ht="15">
      <c r="A8" s="97" t="s">
        <v>371</v>
      </c>
      <c r="B8" s="185" t="s">
        <v>240</v>
      </c>
      <c r="C8" s="97" t="s">
        <v>477</v>
      </c>
      <c r="D8" s="47">
        <v>280</v>
      </c>
      <c r="E8" s="97" t="s">
        <v>758</v>
      </c>
      <c r="F8" s="97" t="s">
        <v>754</v>
      </c>
      <c r="G8" s="97" t="s">
        <v>36</v>
      </c>
      <c r="H8" s="97" t="s">
        <v>37</v>
      </c>
      <c r="I8" s="97" t="s">
        <v>38</v>
      </c>
      <c r="J8" s="97" t="s">
        <v>116</v>
      </c>
      <c r="K8" s="97" t="s">
        <v>117</v>
      </c>
      <c r="L8" s="90">
        <v>45225</v>
      </c>
      <c r="M8" s="90">
        <v>45226</v>
      </c>
      <c r="N8" s="95">
        <f>1816.7/2</f>
        <v>908.35</v>
      </c>
      <c r="O8" s="95">
        <f>1816.7/2</f>
        <v>908.35</v>
      </c>
      <c r="P8" s="95">
        <f t="shared" si="0"/>
        <v>1816.7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7"/>
    </row>
    <row r="9" spans="1:24" s="92" customFormat="1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329</v>
      </c>
      <c r="F9" s="97" t="s">
        <v>759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45218</v>
      </c>
      <c r="M9" s="90">
        <v>45219</v>
      </c>
      <c r="N9" s="95">
        <f>2022.63/2</f>
        <v>1011.3150000000001</v>
      </c>
      <c r="O9" s="95">
        <f>2022.63/2</f>
        <v>1011.3150000000001</v>
      </c>
      <c r="P9" s="95">
        <f t="shared" si="0"/>
        <v>2022.63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7"/>
    </row>
    <row r="10" spans="1:24" s="92" customFormat="1" ht="15">
      <c r="A10" s="97" t="s">
        <v>253</v>
      </c>
      <c r="B10" s="97" t="s">
        <v>322</v>
      </c>
      <c r="C10" s="97" t="s">
        <v>760</v>
      </c>
      <c r="D10" s="47">
        <v>397</v>
      </c>
      <c r="E10" s="97" t="s">
        <v>761</v>
      </c>
      <c r="F10" s="97" t="s">
        <v>759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45218</v>
      </c>
      <c r="M10" s="90">
        <v>45219</v>
      </c>
      <c r="N10" s="95">
        <f t="shared" ref="N10:O11" si="10">2022.63/2</f>
        <v>1011.3150000000001</v>
      </c>
      <c r="O10" s="95">
        <f t="shared" si="10"/>
        <v>1011.3150000000001</v>
      </c>
      <c r="P10" s="95">
        <f t="shared" si="0"/>
        <v>2022.63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7"/>
    </row>
    <row r="11" spans="1:24" s="92" customFormat="1" ht="15">
      <c r="A11" s="97" t="s">
        <v>253</v>
      </c>
      <c r="B11" s="97" t="s">
        <v>322</v>
      </c>
      <c r="C11" s="97" t="s">
        <v>762</v>
      </c>
      <c r="D11" s="47">
        <v>324</v>
      </c>
      <c r="E11" s="97" t="s">
        <v>763</v>
      </c>
      <c r="F11" s="97" t="s">
        <v>759</v>
      </c>
      <c r="G11" s="97" t="s">
        <v>36</v>
      </c>
      <c r="H11" s="97" t="s">
        <v>37</v>
      </c>
      <c r="I11" s="97" t="s">
        <v>38</v>
      </c>
      <c r="J11" s="97" t="s">
        <v>116</v>
      </c>
      <c r="K11" s="97" t="s">
        <v>117</v>
      </c>
      <c r="L11" s="90">
        <v>45218</v>
      </c>
      <c r="M11" s="90">
        <v>45219</v>
      </c>
      <c r="N11" s="95">
        <f t="shared" si="10"/>
        <v>1011.3150000000001</v>
      </c>
      <c r="O11" s="95">
        <f t="shared" si="10"/>
        <v>1011.3150000000001</v>
      </c>
      <c r="P11" s="95">
        <f t="shared" si="0"/>
        <v>2022.63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7"/>
    </row>
    <row r="12" spans="1:24" s="92" customFormat="1" ht="15">
      <c r="A12" s="97" t="s">
        <v>231</v>
      </c>
      <c r="B12" s="97" t="s">
        <v>764</v>
      </c>
      <c r="C12" s="97" t="s">
        <v>731</v>
      </c>
      <c r="D12" s="47">
        <v>390</v>
      </c>
      <c r="E12" s="97" t="s">
        <v>765</v>
      </c>
      <c r="F12" s="97" t="s">
        <v>766</v>
      </c>
      <c r="G12" s="97" t="s">
        <v>36</v>
      </c>
      <c r="H12" s="97" t="s">
        <v>37</v>
      </c>
      <c r="I12" s="97" t="s">
        <v>38</v>
      </c>
      <c r="J12" s="97" t="s">
        <v>116</v>
      </c>
      <c r="K12" s="97" t="s">
        <v>767</v>
      </c>
      <c r="L12" s="90">
        <v>45224</v>
      </c>
      <c r="M12" s="90">
        <v>45226</v>
      </c>
      <c r="N12" s="95">
        <f>2436.85/2</f>
        <v>1218.425</v>
      </c>
      <c r="O12" s="95">
        <f>2436.85/2</f>
        <v>1218.425</v>
      </c>
      <c r="P12" s="95">
        <f t="shared" si="0"/>
        <v>2436.85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7"/>
    </row>
    <row r="13" spans="1:24" s="92" customFormat="1" ht="15">
      <c r="A13" s="97" t="s">
        <v>231</v>
      </c>
      <c r="B13" s="97" t="s">
        <v>231</v>
      </c>
      <c r="C13" s="97" t="s">
        <v>768</v>
      </c>
      <c r="D13" s="47">
        <v>392</v>
      </c>
      <c r="E13" s="97" t="s">
        <v>769</v>
      </c>
      <c r="F13" s="97" t="s">
        <v>766</v>
      </c>
      <c r="G13" s="97" t="s">
        <v>36</v>
      </c>
      <c r="H13" s="97" t="s">
        <v>37</v>
      </c>
      <c r="I13" s="97" t="s">
        <v>38</v>
      </c>
      <c r="J13" s="97" t="s">
        <v>116</v>
      </c>
      <c r="K13" s="97" t="s">
        <v>767</v>
      </c>
      <c r="L13" s="90">
        <v>45224</v>
      </c>
      <c r="M13" s="90">
        <v>45226</v>
      </c>
      <c r="N13" s="95">
        <f>2785.85/2</f>
        <v>1392.925</v>
      </c>
      <c r="O13" s="95">
        <f>2785.85/2</f>
        <v>1392.925</v>
      </c>
      <c r="P13" s="95">
        <f t="shared" si="0"/>
        <v>2785.85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7"/>
    </row>
    <row r="14" spans="1:24" s="92" customFormat="1" ht="15">
      <c r="A14" s="97" t="s">
        <v>231</v>
      </c>
      <c r="B14" s="97" t="s">
        <v>229</v>
      </c>
      <c r="C14" s="97" t="s">
        <v>653</v>
      </c>
      <c r="D14" s="47">
        <v>343</v>
      </c>
      <c r="E14" s="97" t="s">
        <v>770</v>
      </c>
      <c r="F14" s="97" t="s">
        <v>771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45224</v>
      </c>
      <c r="M14" s="90">
        <v>45226</v>
      </c>
      <c r="N14" s="95">
        <f>1941.13/2</f>
        <v>970.56500000000005</v>
      </c>
      <c r="O14" s="95">
        <f>1941.13/2</f>
        <v>970.56500000000005</v>
      </c>
      <c r="P14" s="95">
        <f t="shared" si="0"/>
        <v>1941.13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7"/>
    </row>
    <row r="15" spans="1:24" s="92" customFormat="1" ht="15">
      <c r="A15" s="97" t="s">
        <v>231</v>
      </c>
      <c r="B15" s="97" t="s">
        <v>229</v>
      </c>
      <c r="C15" s="97" t="s">
        <v>65</v>
      </c>
      <c r="D15" s="47">
        <v>195</v>
      </c>
      <c r="E15" s="97" t="s">
        <v>770</v>
      </c>
      <c r="F15" s="97" t="s">
        <v>771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45224</v>
      </c>
      <c r="M15" s="90">
        <v>45226</v>
      </c>
      <c r="N15" s="95">
        <f>1941.13/2</f>
        <v>970.56500000000005</v>
      </c>
      <c r="O15" s="95">
        <f>1941.13/2</f>
        <v>970.56500000000005</v>
      </c>
      <c r="P15" s="95">
        <f t="shared" si="0"/>
        <v>1941.13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7"/>
    </row>
    <row r="16" spans="1:24" s="92" customFormat="1" ht="15">
      <c r="A16" s="97" t="s">
        <v>231</v>
      </c>
      <c r="B16" s="97" t="s">
        <v>229</v>
      </c>
      <c r="C16" s="97" t="s">
        <v>729</v>
      </c>
      <c r="D16" s="47">
        <v>387</v>
      </c>
      <c r="E16" s="97" t="s">
        <v>248</v>
      </c>
      <c r="F16" s="97" t="s">
        <v>772</v>
      </c>
      <c r="G16" s="97" t="s">
        <v>36</v>
      </c>
      <c r="H16" s="97" t="s">
        <v>37</v>
      </c>
      <c r="I16" s="97" t="s">
        <v>38</v>
      </c>
      <c r="J16" s="97" t="s">
        <v>116</v>
      </c>
      <c r="K16" s="97" t="s">
        <v>117</v>
      </c>
      <c r="L16" s="90">
        <v>45222</v>
      </c>
      <c r="M16" s="90">
        <v>45225</v>
      </c>
      <c r="N16" s="95">
        <f>1816.7/2</f>
        <v>908.35</v>
      </c>
      <c r="O16" s="95">
        <f>1816.7/2</f>
        <v>908.35</v>
      </c>
      <c r="P16" s="95">
        <f t="shared" si="0"/>
        <v>1816.7</v>
      </c>
      <c r="Q16" s="77">
        <v>4</v>
      </c>
      <c r="R16" s="91">
        <v>120</v>
      </c>
      <c r="S16" s="77">
        <v>0</v>
      </c>
      <c r="T16" s="91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7"/>
    </row>
    <row r="17" spans="1:24" s="92" customFormat="1" ht="15">
      <c r="A17" s="97" t="s">
        <v>253</v>
      </c>
      <c r="B17" s="97" t="s">
        <v>253</v>
      </c>
      <c r="C17" s="97" t="s">
        <v>387</v>
      </c>
      <c r="D17" s="47">
        <v>0</v>
      </c>
      <c r="E17" s="97" t="s">
        <v>50</v>
      </c>
      <c r="F17" s="97" t="s">
        <v>766</v>
      </c>
      <c r="G17" s="97" t="s">
        <v>36</v>
      </c>
      <c r="H17" s="97" t="s">
        <v>37</v>
      </c>
      <c r="I17" s="97" t="s">
        <v>38</v>
      </c>
      <c r="J17" s="97" t="s">
        <v>116</v>
      </c>
      <c r="K17" s="97" t="s">
        <v>767</v>
      </c>
      <c r="L17" s="90">
        <v>45224</v>
      </c>
      <c r="M17" s="90">
        <v>45226</v>
      </c>
      <c r="N17" s="95">
        <f>2436.85/2</f>
        <v>1218.425</v>
      </c>
      <c r="O17" s="95">
        <f>2436.85/2</f>
        <v>1218.425</v>
      </c>
      <c r="P17" s="95">
        <f t="shared" si="0"/>
        <v>2436.85</v>
      </c>
      <c r="Q17" s="77">
        <v>0</v>
      </c>
      <c r="R17" s="91">
        <v>120</v>
      </c>
      <c r="S17" s="77">
        <v>0</v>
      </c>
      <c r="T17" s="91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7"/>
    </row>
    <row r="18" spans="1:24" s="92" customFormat="1" ht="15">
      <c r="A18" s="97" t="s">
        <v>253</v>
      </c>
      <c r="B18" s="97" t="s">
        <v>259</v>
      </c>
      <c r="C18" s="97" t="s">
        <v>383</v>
      </c>
      <c r="D18" s="47">
        <v>65</v>
      </c>
      <c r="E18" s="97" t="s">
        <v>773</v>
      </c>
      <c r="F18" s="97" t="s">
        <v>766</v>
      </c>
      <c r="G18" s="97" t="s">
        <v>36</v>
      </c>
      <c r="H18" s="97" t="s">
        <v>37</v>
      </c>
      <c r="I18" s="97" t="s">
        <v>38</v>
      </c>
      <c r="J18" s="97" t="s">
        <v>116</v>
      </c>
      <c r="K18" s="97" t="s">
        <v>767</v>
      </c>
      <c r="L18" s="90">
        <v>45224</v>
      </c>
      <c r="M18" s="90">
        <v>45226</v>
      </c>
      <c r="N18" s="95">
        <f>2436.85/2</f>
        <v>1218.425</v>
      </c>
      <c r="O18" s="95">
        <f>2436.85/2</f>
        <v>1218.425</v>
      </c>
      <c r="P18" s="95">
        <f t="shared" si="0"/>
        <v>2436.85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7"/>
    </row>
    <row r="19" spans="1:24" s="92" customFormat="1" ht="15">
      <c r="A19" s="97" t="s">
        <v>371</v>
      </c>
      <c r="B19" s="97" t="s">
        <v>371</v>
      </c>
      <c r="C19" s="97" t="s">
        <v>79</v>
      </c>
      <c r="D19" s="47">
        <v>0</v>
      </c>
      <c r="E19" s="97" t="s">
        <v>80</v>
      </c>
      <c r="F19" s="97" t="str">
        <f>$E$36</f>
        <v>EVENTO REGULATÓRIO COMMIT/MITSUI - QUANTUM</v>
      </c>
      <c r="G19" s="97" t="s">
        <v>774</v>
      </c>
      <c r="H19" s="97" t="s">
        <v>37</v>
      </c>
      <c r="I19" s="97" t="s">
        <v>38</v>
      </c>
      <c r="J19" s="97"/>
      <c r="K19" s="97" t="s">
        <v>775</v>
      </c>
      <c r="L19" s="90">
        <v>45214</v>
      </c>
      <c r="M19" s="90">
        <v>45220</v>
      </c>
      <c r="N19" s="95">
        <f>4613.64/2</f>
        <v>2306.8200000000002</v>
      </c>
      <c r="O19" s="95">
        <f>4613.64/2</f>
        <v>2306.8200000000002</v>
      </c>
      <c r="P19" s="95">
        <f t="shared" si="0"/>
        <v>4613.6400000000003</v>
      </c>
      <c r="Q19" s="77">
        <v>0</v>
      </c>
      <c r="R19" s="91">
        <v>120</v>
      </c>
      <c r="S19" s="77">
        <v>0</v>
      </c>
      <c r="T19" s="91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7"/>
    </row>
    <row r="20" spans="1:24" s="92" customFormat="1" ht="15">
      <c r="A20" s="97" t="s">
        <v>231</v>
      </c>
      <c r="B20" s="97" t="s">
        <v>231</v>
      </c>
      <c r="C20" s="97" t="s">
        <v>704</v>
      </c>
      <c r="D20" s="47">
        <v>0</v>
      </c>
      <c r="E20" s="97" t="s">
        <v>562</v>
      </c>
      <c r="F20" s="97" t="str">
        <f>$E$36</f>
        <v>EVENTO REGULATÓRIO COMMIT/MITSUI - QUANTUM</v>
      </c>
      <c r="G20" s="97" t="s">
        <v>774</v>
      </c>
      <c r="H20" s="97" t="s">
        <v>37</v>
      </c>
      <c r="I20" s="97" t="s">
        <v>38</v>
      </c>
      <c r="J20" s="97"/>
      <c r="K20" s="97" t="s">
        <v>775</v>
      </c>
      <c r="L20" s="90">
        <v>45214</v>
      </c>
      <c r="M20" s="90">
        <v>45220</v>
      </c>
      <c r="N20" s="95">
        <f>6094/2</f>
        <v>3047</v>
      </c>
      <c r="O20" s="95">
        <f>6094/2</f>
        <v>3047</v>
      </c>
      <c r="P20" s="95">
        <f t="shared" si="0"/>
        <v>6094</v>
      </c>
      <c r="Q20" s="77">
        <v>0</v>
      </c>
      <c r="R20" s="91">
        <v>6279.28</v>
      </c>
      <c r="S20" s="77">
        <v>0</v>
      </c>
      <c r="T20" s="91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7"/>
    </row>
    <row r="21" spans="1:24" s="92" customFormat="1" ht="15">
      <c r="A21" s="97" t="s">
        <v>371</v>
      </c>
      <c r="B21" s="97" t="s">
        <v>371</v>
      </c>
      <c r="C21" s="97" t="s">
        <v>137</v>
      </c>
      <c r="D21" s="47">
        <v>202</v>
      </c>
      <c r="E21" s="97" t="s">
        <v>700</v>
      </c>
      <c r="F21" s="97" t="str">
        <f>$E$36</f>
        <v>EVENTO REGULATÓRIO COMMIT/MITSUI - QUANTUM</v>
      </c>
      <c r="G21" s="97" t="s">
        <v>774</v>
      </c>
      <c r="H21" s="97" t="s">
        <v>37</v>
      </c>
      <c r="I21" s="97" t="s">
        <v>38</v>
      </c>
      <c r="J21" s="97"/>
      <c r="K21" s="97" t="s">
        <v>775</v>
      </c>
      <c r="L21" s="90">
        <v>45214</v>
      </c>
      <c r="M21" s="90">
        <v>45220</v>
      </c>
      <c r="N21" s="95">
        <f>4613.64/2</f>
        <v>2306.8200000000002</v>
      </c>
      <c r="O21" s="95">
        <f>4613.64/2</f>
        <v>2306.8200000000002</v>
      </c>
      <c r="P21" s="95">
        <f t="shared" si="0"/>
        <v>4613.6400000000003</v>
      </c>
      <c r="Q21" s="77">
        <v>0</v>
      </c>
      <c r="R21" s="91">
        <v>120</v>
      </c>
      <c r="S21" s="77">
        <v>0</v>
      </c>
      <c r="T21" s="91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7"/>
    </row>
    <row r="22" spans="1:24" s="92" customFormat="1" ht="15">
      <c r="A22" s="97" t="s">
        <v>371</v>
      </c>
      <c r="B22" s="185" t="s">
        <v>295</v>
      </c>
      <c r="C22" s="97" t="s">
        <v>296</v>
      </c>
      <c r="D22" s="47">
        <v>61</v>
      </c>
      <c r="E22" s="97" t="s">
        <v>776</v>
      </c>
      <c r="F22" s="97" t="s">
        <v>777</v>
      </c>
      <c r="G22" s="97" t="s">
        <v>36</v>
      </c>
      <c r="H22" s="97" t="s">
        <v>37</v>
      </c>
      <c r="I22" s="97" t="s">
        <v>38</v>
      </c>
      <c r="J22" s="97" t="s">
        <v>39</v>
      </c>
      <c r="K22" s="97" t="s">
        <v>40</v>
      </c>
      <c r="L22" s="90">
        <v>45216</v>
      </c>
      <c r="M22" s="90">
        <v>45217</v>
      </c>
      <c r="N22" s="95">
        <f>2054.92/2</f>
        <v>1027.46</v>
      </c>
      <c r="O22" s="95">
        <f>2054.92/2</f>
        <v>1027.46</v>
      </c>
      <c r="P22" s="95">
        <f t="shared" si="0"/>
        <v>2054.92</v>
      </c>
      <c r="Q22" s="77">
        <v>2</v>
      </c>
      <c r="R22" s="91">
        <v>120</v>
      </c>
      <c r="S22" s="77">
        <v>0</v>
      </c>
      <c r="T22" s="91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7"/>
    </row>
    <row r="23" spans="1:24" s="92" customFormat="1" ht="15">
      <c r="A23" s="97" t="s">
        <v>253</v>
      </c>
      <c r="B23" s="97" t="s">
        <v>253</v>
      </c>
      <c r="C23" s="97" t="s">
        <v>387</v>
      </c>
      <c r="D23" s="47">
        <v>0</v>
      </c>
      <c r="E23" s="97" t="s">
        <v>50</v>
      </c>
      <c r="F23" s="97" t="s">
        <v>778</v>
      </c>
      <c r="G23" s="97" t="s">
        <v>36</v>
      </c>
      <c r="H23" s="97" t="s">
        <v>37</v>
      </c>
      <c r="I23" s="97" t="s">
        <v>38</v>
      </c>
      <c r="J23" s="97" t="s">
        <v>39</v>
      </c>
      <c r="K23" s="97" t="s">
        <v>40</v>
      </c>
      <c r="L23" s="90">
        <v>45221</v>
      </c>
      <c r="M23" s="90">
        <v>45224</v>
      </c>
      <c r="N23" s="95">
        <f>(1632.83+2870.29)/2</f>
        <v>2251.56</v>
      </c>
      <c r="O23" s="95">
        <f>(1632.83+2870.29)/2</f>
        <v>2251.56</v>
      </c>
      <c r="P23" s="95">
        <f t="shared" si="0"/>
        <v>4503.12</v>
      </c>
      <c r="Q23" s="77">
        <v>0</v>
      </c>
      <c r="R23" s="91">
        <v>120</v>
      </c>
      <c r="S23" s="77">
        <v>0</v>
      </c>
      <c r="T23" s="91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7"/>
    </row>
    <row r="24" spans="1:24" s="92" customFormat="1" ht="30">
      <c r="A24" s="97" t="s">
        <v>231</v>
      </c>
      <c r="B24" s="97" t="s">
        <v>231</v>
      </c>
      <c r="C24" s="97" t="s">
        <v>704</v>
      </c>
      <c r="D24" s="47">
        <v>0</v>
      </c>
      <c r="E24" s="97" t="s">
        <v>562</v>
      </c>
      <c r="F24" s="98" t="s">
        <v>779</v>
      </c>
      <c r="G24" s="97" t="s">
        <v>36</v>
      </c>
      <c r="H24" s="97" t="s">
        <v>37</v>
      </c>
      <c r="I24" s="97" t="s">
        <v>38</v>
      </c>
      <c r="J24" s="97" t="s">
        <v>127</v>
      </c>
      <c r="K24" s="97" t="s">
        <v>63</v>
      </c>
      <c r="L24" s="90">
        <v>45222</v>
      </c>
      <c r="M24" s="90">
        <v>45224</v>
      </c>
      <c r="N24" s="95">
        <f>2210.74/2</f>
        <v>1105.3699999999999</v>
      </c>
      <c r="O24" s="95">
        <f>2210.74/2</f>
        <v>1105.3699999999999</v>
      </c>
      <c r="P24" s="95">
        <f t="shared" si="0"/>
        <v>2210.7399999999998</v>
      </c>
      <c r="Q24" s="77">
        <v>0</v>
      </c>
      <c r="R24" s="91">
        <v>120</v>
      </c>
      <c r="S24" s="77">
        <v>0</v>
      </c>
      <c r="T24" s="91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7"/>
    </row>
    <row r="25" spans="1:24" s="92" customFormat="1" ht="15">
      <c r="A25" s="97" t="s">
        <v>253</v>
      </c>
      <c r="B25" s="97" t="s">
        <v>212</v>
      </c>
      <c r="C25" s="97" t="s">
        <v>539</v>
      </c>
      <c r="D25" s="47">
        <v>159</v>
      </c>
      <c r="E25" s="97" t="s">
        <v>541</v>
      </c>
      <c r="F25" s="97" t="s">
        <v>780</v>
      </c>
      <c r="G25" s="97" t="s">
        <v>36</v>
      </c>
      <c r="H25" s="97" t="s">
        <v>37</v>
      </c>
      <c r="I25" s="97" t="s">
        <v>38</v>
      </c>
      <c r="J25" s="97" t="s">
        <v>127</v>
      </c>
      <c r="K25" s="97" t="s">
        <v>414</v>
      </c>
      <c r="L25" s="90">
        <v>45223</v>
      </c>
      <c r="M25" s="90">
        <v>45224</v>
      </c>
      <c r="N25" s="95">
        <f>3615.39/2</f>
        <v>1807.6949999999999</v>
      </c>
      <c r="O25" s="95">
        <f>3615.39/2</f>
        <v>1807.6949999999999</v>
      </c>
      <c r="P25" s="95">
        <f t="shared" si="0"/>
        <v>3615.39</v>
      </c>
      <c r="Q25" s="77">
        <v>2</v>
      </c>
      <c r="R25" s="91">
        <v>120</v>
      </c>
      <c r="S25" s="77">
        <v>0</v>
      </c>
      <c r="T25" s="91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7"/>
    </row>
    <row r="26" spans="1:24" s="92" customFormat="1" ht="15">
      <c r="A26" s="97" t="s">
        <v>231</v>
      </c>
      <c r="B26" s="97" t="s">
        <v>231</v>
      </c>
      <c r="C26" s="97" t="s">
        <v>704</v>
      </c>
      <c r="D26" s="47">
        <v>0</v>
      </c>
      <c r="E26" s="97" t="s">
        <v>562</v>
      </c>
      <c r="F26" s="97" t="s">
        <v>766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781</v>
      </c>
      <c r="L26" s="90">
        <v>45224</v>
      </c>
      <c r="M26" s="90">
        <v>45226</v>
      </c>
      <c r="N26" s="95">
        <f>1951.84/2</f>
        <v>975.92</v>
      </c>
      <c r="O26" s="95">
        <f>1951.84/2</f>
        <v>975.92</v>
      </c>
      <c r="P26" s="95">
        <f t="shared" si="0"/>
        <v>1951.84</v>
      </c>
      <c r="Q26" s="77">
        <v>0</v>
      </c>
      <c r="R26" s="91">
        <v>120</v>
      </c>
      <c r="S26" s="77">
        <v>0</v>
      </c>
      <c r="T26" s="91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7"/>
    </row>
    <row r="27" spans="1:24" s="92" customFormat="1" ht="15">
      <c r="A27" s="97" t="s">
        <v>231</v>
      </c>
      <c r="B27" s="97" t="s">
        <v>241</v>
      </c>
      <c r="C27" s="97" t="s">
        <v>701</v>
      </c>
      <c r="D27" s="47">
        <v>394</v>
      </c>
      <c r="E27" s="97" t="s">
        <v>702</v>
      </c>
      <c r="F27" s="97" t="s">
        <v>782</v>
      </c>
      <c r="G27" s="97" t="s">
        <v>36</v>
      </c>
      <c r="H27" s="97" t="s">
        <v>37</v>
      </c>
      <c r="I27" s="97" t="s">
        <v>38</v>
      </c>
      <c r="J27" s="97" t="s">
        <v>127</v>
      </c>
      <c r="K27" s="97" t="s">
        <v>63</v>
      </c>
      <c r="L27" s="90">
        <v>45223</v>
      </c>
      <c r="M27" s="90">
        <v>45225</v>
      </c>
      <c r="N27" s="95">
        <f>925.58/2</f>
        <v>462.79</v>
      </c>
      <c r="O27" s="95">
        <f>925.58/2</f>
        <v>462.79</v>
      </c>
      <c r="P27" s="95">
        <f t="shared" si="0"/>
        <v>925.58</v>
      </c>
      <c r="Q27" s="77">
        <v>4</v>
      </c>
      <c r="R27" s="91">
        <v>120</v>
      </c>
      <c r="S27" s="77">
        <v>0</v>
      </c>
      <c r="T27" s="91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7"/>
    </row>
    <row r="28" spans="1:24" s="92" customFormat="1" ht="15">
      <c r="A28" s="97" t="s">
        <v>371</v>
      </c>
      <c r="B28" s="97" t="s">
        <v>371</v>
      </c>
      <c r="C28" s="97" t="s">
        <v>137</v>
      </c>
      <c r="D28" s="47">
        <v>202</v>
      </c>
      <c r="E28" s="97" t="s">
        <v>700</v>
      </c>
      <c r="F28" s="97" t="s">
        <v>783</v>
      </c>
      <c r="G28" s="97" t="s">
        <v>36</v>
      </c>
      <c r="H28" s="97" t="s">
        <v>37</v>
      </c>
      <c r="I28" s="97" t="s">
        <v>38</v>
      </c>
      <c r="J28" s="97" t="s">
        <v>39</v>
      </c>
      <c r="K28" s="97" t="s">
        <v>40</v>
      </c>
      <c r="L28" s="90">
        <v>45223</v>
      </c>
      <c r="M28" s="90">
        <v>45226</v>
      </c>
      <c r="N28" s="95">
        <f t="shared" ref="N28:O30" si="16">2170.64/2</f>
        <v>1085.32</v>
      </c>
      <c r="O28" s="95">
        <f t="shared" si="16"/>
        <v>1085.32</v>
      </c>
      <c r="P28" s="95">
        <f t="shared" si="0"/>
        <v>2170.64</v>
      </c>
      <c r="Q28" s="77">
        <v>4</v>
      </c>
      <c r="R28" s="91">
        <v>120</v>
      </c>
      <c r="S28" s="77">
        <v>0</v>
      </c>
      <c r="T28" s="91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7"/>
    </row>
    <row r="29" spans="1:24" s="92" customFormat="1" ht="15">
      <c r="A29" s="97" t="s">
        <v>371</v>
      </c>
      <c r="B29" s="185" t="s">
        <v>240</v>
      </c>
      <c r="C29" s="97" t="s">
        <v>448</v>
      </c>
      <c r="D29" s="47">
        <v>336</v>
      </c>
      <c r="E29" s="97" t="s">
        <v>294</v>
      </c>
      <c r="F29" s="97" t="s">
        <v>783</v>
      </c>
      <c r="G29" s="97" t="s">
        <v>36</v>
      </c>
      <c r="H29" s="97" t="s">
        <v>37</v>
      </c>
      <c r="I29" s="97" t="s">
        <v>38</v>
      </c>
      <c r="J29" s="97" t="s">
        <v>39</v>
      </c>
      <c r="K29" s="97" t="s">
        <v>40</v>
      </c>
      <c r="L29" s="90">
        <v>45223</v>
      </c>
      <c r="M29" s="90">
        <v>45225</v>
      </c>
      <c r="N29" s="95">
        <f t="shared" si="16"/>
        <v>1085.32</v>
      </c>
      <c r="O29" s="95">
        <f t="shared" si="16"/>
        <v>1085.32</v>
      </c>
      <c r="P29" s="95">
        <f t="shared" si="0"/>
        <v>2170.64</v>
      </c>
      <c r="Q29" s="77">
        <v>3</v>
      </c>
      <c r="R29" s="91">
        <v>120</v>
      </c>
      <c r="S29" s="77">
        <v>0</v>
      </c>
      <c r="T29" s="91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7"/>
    </row>
    <row r="30" spans="1:24" s="92" customFormat="1" ht="15">
      <c r="A30" s="97" t="s">
        <v>371</v>
      </c>
      <c r="B30" s="185" t="s">
        <v>240</v>
      </c>
      <c r="C30" s="97" t="s">
        <v>140</v>
      </c>
      <c r="D30" s="47">
        <v>230</v>
      </c>
      <c r="E30" s="97" t="s">
        <v>709</v>
      </c>
      <c r="F30" s="97" t="s">
        <v>783</v>
      </c>
      <c r="G30" s="97" t="s">
        <v>36</v>
      </c>
      <c r="H30" s="97" t="s">
        <v>37</v>
      </c>
      <c r="I30" s="97" t="s">
        <v>38</v>
      </c>
      <c r="J30" s="97" t="s">
        <v>39</v>
      </c>
      <c r="K30" s="97" t="s">
        <v>40</v>
      </c>
      <c r="L30" s="90">
        <v>45223</v>
      </c>
      <c r="M30" s="90">
        <v>45226</v>
      </c>
      <c r="N30" s="95">
        <f t="shared" si="16"/>
        <v>1085.32</v>
      </c>
      <c r="O30" s="95">
        <f t="shared" si="16"/>
        <v>1085.32</v>
      </c>
      <c r="P30" s="95">
        <f t="shared" si="0"/>
        <v>2170.64</v>
      </c>
      <c r="Q30" s="77">
        <v>4</v>
      </c>
      <c r="R30" s="91">
        <v>120</v>
      </c>
      <c r="S30" s="77">
        <v>0</v>
      </c>
      <c r="T30" s="91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7"/>
    </row>
    <row r="31" spans="1:24" ht="14.25" customHeight="1"/>
    <row r="36" spans="3:6">
      <c r="E36" s="96" t="str">
        <f>UPPER(E45)</f>
        <v>EVENTO REGULATÓRIO COMMIT/MITSUI - QUANTUM</v>
      </c>
    </row>
    <row r="37" spans="3:6">
      <c r="F37" s="96" t="str">
        <f>UPPER(G15)</f>
        <v>NACIONAL</v>
      </c>
    </row>
    <row r="40" spans="3:6">
      <c r="F40" t="s">
        <v>784</v>
      </c>
    </row>
    <row r="41" spans="3:6">
      <c r="C41" t="s">
        <v>785</v>
      </c>
    </row>
    <row r="43" spans="3:6">
      <c r="F43" t="s">
        <v>786</v>
      </c>
    </row>
    <row r="45" spans="3:6">
      <c r="E45" t="s">
        <v>787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16" sqref="D16:E1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788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45257</v>
      </c>
      <c r="M5" s="90">
        <v>45260</v>
      </c>
      <c r="N5" s="95">
        <f>2296.41/2</f>
        <v>1148.2049999999999</v>
      </c>
      <c r="O5" s="95">
        <f>2296.41/2</f>
        <v>1148.2049999999999</v>
      </c>
      <c r="P5" s="95">
        <f t="shared" ref="P5:P16" si="0">SUM(N5:O5)</f>
        <v>2296.41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7"/>
    </row>
    <row r="6" spans="1:24" s="92" customFormat="1" ht="15">
      <c r="A6" s="97" t="s">
        <v>231</v>
      </c>
      <c r="B6" s="185" t="s">
        <v>366</v>
      </c>
      <c r="C6" s="97" t="s">
        <v>789</v>
      </c>
      <c r="D6" s="47">
        <v>393</v>
      </c>
      <c r="E6" s="98" t="s">
        <v>790</v>
      </c>
      <c r="F6" s="97" t="s">
        <v>788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45257</v>
      </c>
      <c r="M6" s="90">
        <v>45260</v>
      </c>
      <c r="N6" s="95">
        <f>1979.29/2</f>
        <v>989.64499999999998</v>
      </c>
      <c r="O6" s="95">
        <f>1979.29/2</f>
        <v>989.64499999999998</v>
      </c>
      <c r="P6" s="95">
        <f t="shared" si="0"/>
        <v>1979.29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7"/>
    </row>
    <row r="7" spans="1:24" s="92" customFormat="1" ht="15">
      <c r="A7" s="97" t="s">
        <v>231</v>
      </c>
      <c r="B7" s="97" t="s">
        <v>231</v>
      </c>
      <c r="C7" s="97" t="s">
        <v>704</v>
      </c>
      <c r="D7" s="47">
        <v>0</v>
      </c>
      <c r="E7" s="97" t="s">
        <v>562</v>
      </c>
      <c r="F7" s="98" t="s">
        <v>75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45237</v>
      </c>
      <c r="M7" s="90">
        <v>45241</v>
      </c>
      <c r="N7" s="95">
        <f>3464.21/2</f>
        <v>1732.105</v>
      </c>
      <c r="O7" s="95">
        <f>3464.21/2</f>
        <v>1732.105</v>
      </c>
      <c r="P7" s="95">
        <f t="shared" si="0"/>
        <v>3464.21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7"/>
    </row>
    <row r="8" spans="1:24" s="92" customFormat="1" ht="15">
      <c r="A8" s="97" t="s">
        <v>253</v>
      </c>
      <c r="B8" s="185" t="s">
        <v>253</v>
      </c>
      <c r="C8" s="97" t="s">
        <v>387</v>
      </c>
      <c r="D8" s="47">
        <v>0</v>
      </c>
      <c r="E8" s="97" t="s">
        <v>50</v>
      </c>
      <c r="F8" s="97" t="s">
        <v>791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45258</v>
      </c>
      <c r="M8" s="90">
        <v>45259</v>
      </c>
      <c r="N8" s="95">
        <f>4699.52/2</f>
        <v>2349.7600000000002</v>
      </c>
      <c r="O8" s="95">
        <f>4699.52/2</f>
        <v>2349.7600000000002</v>
      </c>
      <c r="P8" s="95">
        <f t="shared" si="0"/>
        <v>4699.5200000000004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7"/>
    </row>
    <row r="9" spans="1:24" s="92" customFormat="1" ht="15">
      <c r="A9" s="97" t="s">
        <v>231</v>
      </c>
      <c r="B9" s="185" t="s">
        <v>231</v>
      </c>
      <c r="C9" s="97" t="s">
        <v>704</v>
      </c>
      <c r="D9" s="47">
        <v>0</v>
      </c>
      <c r="E9" s="97" t="s">
        <v>562</v>
      </c>
      <c r="F9" s="97" t="s">
        <v>792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45236</v>
      </c>
      <c r="M9" s="90">
        <v>45237</v>
      </c>
      <c r="N9" s="95">
        <f>3364.89/2</f>
        <v>1682.4449999999999</v>
      </c>
      <c r="O9" s="95">
        <f>3364.89/2</f>
        <v>1682.4449999999999</v>
      </c>
      <c r="P9" s="95">
        <f t="shared" si="0"/>
        <v>3364.89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7"/>
    </row>
    <row r="10" spans="1:24" s="92" customFormat="1" ht="15">
      <c r="A10" s="97" t="s">
        <v>231</v>
      </c>
      <c r="B10" s="185" t="s">
        <v>215</v>
      </c>
      <c r="C10" s="97" t="s">
        <v>746</v>
      </c>
      <c r="D10" s="47">
        <v>386</v>
      </c>
      <c r="E10" s="97" t="s">
        <v>218</v>
      </c>
      <c r="F10" s="97" t="s">
        <v>793</v>
      </c>
      <c r="G10" s="97" t="s">
        <v>36</v>
      </c>
      <c r="H10" s="97" t="s">
        <v>37</v>
      </c>
      <c r="I10" s="97" t="s">
        <v>38</v>
      </c>
      <c r="J10" s="97" t="s">
        <v>39</v>
      </c>
      <c r="K10" s="97" t="s">
        <v>40</v>
      </c>
      <c r="L10" s="90">
        <v>45253</v>
      </c>
      <c r="M10" s="90">
        <v>45254</v>
      </c>
      <c r="N10" s="95">
        <f>5920.25</f>
        <v>5920.25</v>
      </c>
      <c r="O10" s="95">
        <v>1055.73</v>
      </c>
      <c r="P10" s="95">
        <f t="shared" si="0"/>
        <v>6975.98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7"/>
    </row>
    <row r="11" spans="1:24" s="92" customFormat="1" ht="15">
      <c r="A11" s="97"/>
      <c r="B11" s="185" t="s">
        <v>226</v>
      </c>
      <c r="C11" s="97" t="s">
        <v>46</v>
      </c>
      <c r="D11" s="47">
        <v>232</v>
      </c>
      <c r="E11" s="97" t="s">
        <v>47</v>
      </c>
      <c r="F11" s="97" t="s">
        <v>794</v>
      </c>
      <c r="G11" s="97" t="s">
        <v>36</v>
      </c>
      <c r="H11" s="97" t="s">
        <v>37</v>
      </c>
      <c r="I11" s="97" t="s">
        <v>38</v>
      </c>
      <c r="J11" s="97" t="s">
        <v>104</v>
      </c>
      <c r="K11" s="97" t="s">
        <v>105</v>
      </c>
      <c r="L11" s="90">
        <v>45252</v>
      </c>
      <c r="M11" s="90">
        <v>45254</v>
      </c>
      <c r="N11" s="95">
        <f>2386.3/2</f>
        <v>1193.1500000000001</v>
      </c>
      <c r="O11" s="95">
        <f>2386.3/2</f>
        <v>1193.1500000000001</v>
      </c>
      <c r="P11" s="95">
        <f t="shared" si="0"/>
        <v>2386.3000000000002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7"/>
    </row>
    <row r="12" spans="1:24" s="92" customFormat="1" ht="15">
      <c r="A12" s="97" t="s">
        <v>253</v>
      </c>
      <c r="B12" s="97" t="s">
        <v>212</v>
      </c>
      <c r="C12" s="97" t="s">
        <v>270</v>
      </c>
      <c r="D12" s="47" t="s">
        <v>168</v>
      </c>
      <c r="E12" s="97" t="s">
        <v>599</v>
      </c>
      <c r="F12" s="97" t="s">
        <v>795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45243</v>
      </c>
      <c r="M12" s="90">
        <v>45244</v>
      </c>
      <c r="N12" s="95">
        <f>1429.3/2</f>
        <v>714.65</v>
      </c>
      <c r="O12" s="95">
        <f>1429.3/2</f>
        <v>714.65</v>
      </c>
      <c r="P12" s="95">
        <f t="shared" si="0"/>
        <v>1429.3</v>
      </c>
      <c r="Q12" s="77">
        <v>2</v>
      </c>
      <c r="R12" s="91">
        <v>120</v>
      </c>
      <c r="S12" s="77">
        <v>0</v>
      </c>
      <c r="T12" s="91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7"/>
    </row>
    <row r="13" spans="1:24" s="92" customFormat="1" ht="15">
      <c r="A13" s="97" t="s">
        <v>253</v>
      </c>
      <c r="B13" s="97" t="s">
        <v>259</v>
      </c>
      <c r="C13" s="97" t="s">
        <v>383</v>
      </c>
      <c r="D13" s="47">
        <v>65</v>
      </c>
      <c r="E13" s="97" t="s">
        <v>796</v>
      </c>
      <c r="F13" s="97" t="s">
        <v>797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90">
        <v>45236</v>
      </c>
      <c r="M13" s="90">
        <v>45237</v>
      </c>
      <c r="N13" s="95">
        <f>3474.52/2</f>
        <v>1737.26</v>
      </c>
      <c r="O13" s="95">
        <f>3474.52/2</f>
        <v>1737.26</v>
      </c>
      <c r="P13" s="95">
        <f t="shared" si="0"/>
        <v>3474.52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7"/>
    </row>
    <row r="14" spans="1:24" s="92" customFormat="1" ht="15">
      <c r="A14" s="97" t="s">
        <v>253</v>
      </c>
      <c r="B14" s="97" t="s">
        <v>253</v>
      </c>
      <c r="C14" s="97" t="s">
        <v>387</v>
      </c>
      <c r="D14" s="47">
        <v>0</v>
      </c>
      <c r="E14" s="97" t="s">
        <v>50</v>
      </c>
      <c r="F14" s="97" t="s">
        <v>792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45238</v>
      </c>
      <c r="M14" s="90">
        <v>45238</v>
      </c>
      <c r="N14" s="95">
        <f>1687.36/2</f>
        <v>843.68</v>
      </c>
      <c r="O14" s="95">
        <f>1687.36/2</f>
        <v>843.68</v>
      </c>
      <c r="P14" s="95">
        <f t="shared" si="0"/>
        <v>1687.36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768</v>
      </c>
      <c r="D15" s="47">
        <v>392</v>
      </c>
      <c r="E15" s="97" t="s">
        <v>798</v>
      </c>
      <c r="F15" s="97" t="s">
        <v>792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45236</v>
      </c>
      <c r="M15" s="90">
        <v>45237</v>
      </c>
      <c r="N15" s="95">
        <f>4185.9/2</f>
        <v>2092.9499999999998</v>
      </c>
      <c r="O15" s="95">
        <f>4185.9/2</f>
        <v>2092.9499999999998</v>
      </c>
      <c r="P15" s="95">
        <f t="shared" si="0"/>
        <v>4185.8999999999996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7"/>
    </row>
    <row r="16" spans="1:24" s="92" customFormat="1" ht="15">
      <c r="A16" s="97" t="s">
        <v>231</v>
      </c>
      <c r="B16" s="97" t="s">
        <v>241</v>
      </c>
      <c r="C16" s="97" t="s">
        <v>701</v>
      </c>
      <c r="D16" s="47">
        <v>394</v>
      </c>
      <c r="E16" s="97" t="s">
        <v>702</v>
      </c>
      <c r="F16" s="97" t="s">
        <v>792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45236</v>
      </c>
      <c r="M16" s="90">
        <v>45237</v>
      </c>
      <c r="N16" s="95">
        <f>4185.9/2</f>
        <v>2092.9499999999998</v>
      </c>
      <c r="O16" s="95">
        <f>4185.9/2</f>
        <v>2092.9499999999998</v>
      </c>
      <c r="P16" s="95">
        <f t="shared" si="0"/>
        <v>4185.8999999999996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7"/>
    </row>
    <row r="17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231</v>
      </c>
      <c r="B5" s="97" t="s">
        <v>229</v>
      </c>
      <c r="C5" s="97" t="s">
        <v>729</v>
      </c>
      <c r="D5" s="47">
        <v>387</v>
      </c>
      <c r="E5" s="97" t="s">
        <v>248</v>
      </c>
      <c r="F5" s="97" t="s">
        <v>799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45271</v>
      </c>
      <c r="M5" s="90">
        <v>45272</v>
      </c>
      <c r="N5" s="95">
        <f>1634.81/2</f>
        <v>817.40499999999997</v>
      </c>
      <c r="O5" s="95">
        <f>1634.81/2</f>
        <v>817.40499999999997</v>
      </c>
      <c r="P5" s="95">
        <f t="shared" ref="P5:P10" si="0">SUM(N5:O5)</f>
        <v>1634.81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7"/>
    </row>
    <row r="6" spans="1:24" s="92" customFormat="1" ht="15">
      <c r="A6" s="97" t="s">
        <v>231</v>
      </c>
      <c r="B6" s="97" t="s">
        <v>231</v>
      </c>
      <c r="C6" s="97" t="s">
        <v>704</v>
      </c>
      <c r="D6" s="47">
        <v>0</v>
      </c>
      <c r="E6" s="97" t="s">
        <v>562</v>
      </c>
      <c r="F6" s="97" t="s">
        <v>800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45266</v>
      </c>
      <c r="M6" s="90">
        <v>45268</v>
      </c>
      <c r="N6" s="95">
        <f>2945.25/2</f>
        <v>1472.625</v>
      </c>
      <c r="O6" s="95">
        <f>2945.25/2</f>
        <v>1472.625</v>
      </c>
      <c r="P6" s="95">
        <f t="shared" si="0"/>
        <v>2945.25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801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45273</v>
      </c>
      <c r="M7" s="90">
        <v>45274</v>
      </c>
      <c r="N7" s="95">
        <f>2092/2</f>
        <v>1046</v>
      </c>
      <c r="O7" s="95">
        <f>2092/2</f>
        <v>1046</v>
      </c>
      <c r="P7" s="95">
        <f t="shared" si="0"/>
        <v>2092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7"/>
    </row>
    <row r="8" spans="1:24" s="92" customFormat="1" ht="15">
      <c r="A8" s="97" t="s">
        <v>253</v>
      </c>
      <c r="B8" s="97" t="s">
        <v>259</v>
      </c>
      <c r="C8" s="97" t="s">
        <v>802</v>
      </c>
      <c r="D8" s="47">
        <v>404</v>
      </c>
      <c r="E8" s="97" t="s">
        <v>803</v>
      </c>
      <c r="F8" s="97" t="s">
        <v>800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45267</v>
      </c>
      <c r="M8" s="90">
        <v>45268</v>
      </c>
      <c r="N8" s="95">
        <f>2884/2</f>
        <v>1442</v>
      </c>
      <c r="O8" s="95">
        <f>2884/2</f>
        <v>1442</v>
      </c>
      <c r="P8" s="95">
        <f t="shared" si="0"/>
        <v>2884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7"/>
    </row>
    <row r="9" spans="1:24" s="92" customFormat="1" ht="15">
      <c r="A9" s="97" t="s">
        <v>253</v>
      </c>
      <c r="B9" s="97" t="s">
        <v>212</v>
      </c>
      <c r="C9" s="97" t="s">
        <v>270</v>
      </c>
      <c r="D9" s="47" t="s">
        <v>168</v>
      </c>
      <c r="E9" s="97" t="s">
        <v>599</v>
      </c>
      <c r="F9" s="97" t="s">
        <v>804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45273</v>
      </c>
      <c r="M9" s="90">
        <v>45274</v>
      </c>
      <c r="N9" s="95">
        <f>979.78/2</f>
        <v>489.89</v>
      </c>
      <c r="O9" s="95">
        <f>979.78/2</f>
        <v>489.89</v>
      </c>
      <c r="P9" s="95">
        <f t="shared" si="0"/>
        <v>979.78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804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45273</v>
      </c>
      <c r="M10" s="90">
        <v>45274</v>
      </c>
      <c r="N10" s="95">
        <f>979.78/2</f>
        <v>489.89</v>
      </c>
      <c r="O10" s="95">
        <f>979.78/2</f>
        <v>489.89</v>
      </c>
      <c r="P10" s="95">
        <f t="shared" si="0"/>
        <v>979.78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7"/>
    </row>
    <row r="11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805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45300</v>
      </c>
      <c r="M5" s="90">
        <v>45303</v>
      </c>
      <c r="N5" s="95">
        <f>3367.92/2</f>
        <v>1683.96</v>
      </c>
      <c r="O5" s="95">
        <f>3367.92/2</f>
        <v>1683.96</v>
      </c>
      <c r="P5" s="95">
        <f t="shared" ref="P5:P7" si="0">SUM(N5:O5)</f>
        <v>3367.92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294</v>
      </c>
      <c r="F6" s="97" t="s">
        <v>740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45312</v>
      </c>
      <c r="M6" s="90">
        <v>45313</v>
      </c>
      <c r="N6" s="95">
        <f>1485.78/2</f>
        <v>742.89</v>
      </c>
      <c r="O6" s="95">
        <f>1485.78/2</f>
        <v>742.89</v>
      </c>
      <c r="P6" s="95">
        <f t="shared" si="0"/>
        <v>1485.78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7"/>
    </row>
    <row r="7" spans="1:24" s="92" customFormat="1" ht="15">
      <c r="A7" s="97" t="s">
        <v>231</v>
      </c>
      <c r="B7" s="97" t="s">
        <v>215</v>
      </c>
      <c r="C7" s="97" t="s">
        <v>746</v>
      </c>
      <c r="D7" s="47">
        <v>386</v>
      </c>
      <c r="E7" s="97" t="s">
        <v>218</v>
      </c>
      <c r="F7" s="97" t="s">
        <v>740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45312</v>
      </c>
      <c r="M7" s="90">
        <v>45313</v>
      </c>
      <c r="N7" s="95">
        <f>1558.31/2</f>
        <v>779.15499999999997</v>
      </c>
      <c r="O7" s="95">
        <f>1558.31/2</f>
        <v>779.15499999999997</v>
      </c>
      <c r="P7" s="95">
        <f t="shared" si="0"/>
        <v>1558.31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7"/>
    </row>
    <row r="8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tabSelected="1" topLeftCell="F1" workbookViewId="0">
      <selection activeCell="D19" sqref="D19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92" customFormat="1" ht="30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8" t="s">
        <v>806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45327</v>
      </c>
      <c r="M5" s="90">
        <v>45329</v>
      </c>
      <c r="N5" s="95">
        <f>1227.84/2</f>
        <v>613.91999999999996</v>
      </c>
      <c r="O5" s="95">
        <f>1227.84/2</f>
        <v>613.91999999999996</v>
      </c>
      <c r="P5" s="95">
        <f t="shared" ref="P5:P10" si="0">SUM(N5:O5)</f>
        <v>1227.8399999999999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7"/>
    </row>
    <row r="6" spans="1:24" s="92" customFormat="1" ht="30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98" t="s">
        <v>806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45327</v>
      </c>
      <c r="M6" s="90">
        <v>45329</v>
      </c>
      <c r="N6" s="95">
        <f>1204.78/2</f>
        <v>602.39</v>
      </c>
      <c r="O6" s="95">
        <f>1204.78/2</f>
        <v>602.39</v>
      </c>
      <c r="P6" s="95">
        <f t="shared" si="0"/>
        <v>1204.78</v>
      </c>
      <c r="Q6" s="77">
        <v>3</v>
      </c>
      <c r="R6" s="91">
        <v>120</v>
      </c>
      <c r="S6" s="77">
        <v>0</v>
      </c>
      <c r="T6" s="91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7"/>
    </row>
    <row r="7" spans="1:24" s="92" customFormat="1" ht="30">
      <c r="A7" s="97" t="s">
        <v>253</v>
      </c>
      <c r="B7" s="97" t="s">
        <v>259</v>
      </c>
      <c r="C7" s="97" t="s">
        <v>802</v>
      </c>
      <c r="D7" s="47">
        <v>404</v>
      </c>
      <c r="E7" s="97" t="s">
        <v>803</v>
      </c>
      <c r="F7" s="98" t="s">
        <v>806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45327</v>
      </c>
      <c r="M7" s="90">
        <v>45329</v>
      </c>
      <c r="N7" s="95">
        <f>1204.78/2</f>
        <v>602.39</v>
      </c>
      <c r="O7" s="95">
        <f>1204.78/2</f>
        <v>602.39</v>
      </c>
      <c r="P7" s="95">
        <f t="shared" si="0"/>
        <v>1204.78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7"/>
    </row>
    <row r="8" spans="1:24" s="92" customFormat="1" ht="30">
      <c r="A8" s="97" t="s">
        <v>231</v>
      </c>
      <c r="B8" s="97" t="s">
        <v>215</v>
      </c>
      <c r="C8" s="97" t="s">
        <v>746</v>
      </c>
      <c r="D8" s="47">
        <v>386</v>
      </c>
      <c r="E8" s="97" t="s">
        <v>218</v>
      </c>
      <c r="F8" s="98" t="s">
        <v>806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45327</v>
      </c>
      <c r="M8" s="90">
        <v>45329</v>
      </c>
      <c r="N8" s="95">
        <f>1227.84/2</f>
        <v>613.91999999999996</v>
      </c>
      <c r="O8" s="95">
        <f>1227.84/2</f>
        <v>613.91999999999996</v>
      </c>
      <c r="P8" s="95">
        <f t="shared" si="0"/>
        <v>1227.8399999999999</v>
      </c>
      <c r="Q8" s="77">
        <v>3</v>
      </c>
      <c r="R8" s="91">
        <v>120</v>
      </c>
      <c r="S8" s="77">
        <v>0</v>
      </c>
      <c r="T8" s="91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7"/>
    </row>
    <row r="9" spans="1:24" s="92" customFormat="1" ht="30">
      <c r="A9" s="97" t="s">
        <v>253</v>
      </c>
      <c r="B9" s="97" t="s">
        <v>764</v>
      </c>
      <c r="C9" s="97" t="s">
        <v>731</v>
      </c>
      <c r="D9" s="47">
        <v>390</v>
      </c>
      <c r="E9" s="97" t="s">
        <v>765</v>
      </c>
      <c r="F9" s="98" t="s">
        <v>806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45327</v>
      </c>
      <c r="M9" s="90">
        <v>45329</v>
      </c>
      <c r="N9" s="95">
        <f>1517.71/2</f>
        <v>758.85500000000002</v>
      </c>
      <c r="O9" s="95">
        <f>1517.71/2</f>
        <v>758.85500000000002</v>
      </c>
      <c r="P9" s="95">
        <f t="shared" si="0"/>
        <v>1517.71</v>
      </c>
      <c r="Q9" s="77">
        <v>3</v>
      </c>
      <c r="R9" s="91">
        <v>120</v>
      </c>
      <c r="S9" s="77">
        <v>0</v>
      </c>
      <c r="T9" s="91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7"/>
    </row>
    <row r="10" spans="1:24" s="92" customFormat="1" ht="30">
      <c r="A10" s="97" t="s">
        <v>231</v>
      </c>
      <c r="B10" s="97" t="s">
        <v>231</v>
      </c>
      <c r="C10" s="97" t="s">
        <v>768</v>
      </c>
      <c r="D10" s="47">
        <v>392</v>
      </c>
      <c r="E10" s="97" t="s">
        <v>769</v>
      </c>
      <c r="F10" s="98" t="s">
        <v>806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45327</v>
      </c>
      <c r="M10" s="90">
        <v>45329</v>
      </c>
      <c r="N10" s="95">
        <f>1517.71/2</f>
        <v>758.85500000000002</v>
      </c>
      <c r="O10" s="95">
        <f>1517.71/2</f>
        <v>758.85500000000002</v>
      </c>
      <c r="P10" s="95">
        <f t="shared" si="0"/>
        <v>1517.71</v>
      </c>
      <c r="Q10" s="77">
        <v>3</v>
      </c>
      <c r="R10" s="91">
        <v>120</v>
      </c>
      <c r="S10" s="77">
        <v>0</v>
      </c>
      <c r="T10" s="91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7"/>
    </row>
    <row r="11" spans="1:24" s="92" customFormat="1" ht="1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98" t="s">
        <v>807</v>
      </c>
      <c r="G11" s="97" t="s">
        <v>36</v>
      </c>
      <c r="H11" s="97" t="s">
        <v>37</v>
      </c>
      <c r="I11" s="97" t="s">
        <v>38</v>
      </c>
      <c r="J11" s="97" t="s">
        <v>62</v>
      </c>
      <c r="K11" s="97" t="s">
        <v>63</v>
      </c>
      <c r="L11" s="90">
        <v>45347</v>
      </c>
      <c r="M11" s="90">
        <v>46446</v>
      </c>
      <c r="N11" s="95">
        <f>1464.87/2</f>
        <v>732.43499999999995</v>
      </c>
      <c r="O11" s="95">
        <f>1464.87/2</f>
        <v>732.43499999999995</v>
      </c>
      <c r="P11" s="95">
        <f t="shared" ref="P11" si="7">SUM(N11:O11)</f>
        <v>1464.87</v>
      </c>
      <c r="Q11" s="77">
        <v>0</v>
      </c>
      <c r="R11" s="91">
        <v>120</v>
      </c>
      <c r="S11" s="77">
        <v>0</v>
      </c>
      <c r="T11" s="91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7"/>
    </row>
    <row r="12" spans="1:24" s="92" customFormat="1" ht="1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98" t="s">
        <v>808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45349</v>
      </c>
      <c r="M12" s="90">
        <v>45351</v>
      </c>
      <c r="N12" s="95">
        <f>1122.64/2</f>
        <v>561.32000000000005</v>
      </c>
      <c r="O12" s="95">
        <f>1122.64/2</f>
        <v>561.32000000000005</v>
      </c>
      <c r="P12" s="95">
        <f t="shared" ref="P12:P16" si="11">SUM(N12:O12)</f>
        <v>1122.6400000000001</v>
      </c>
      <c r="Q12" s="77">
        <v>0</v>
      </c>
      <c r="R12" s="91">
        <v>120</v>
      </c>
      <c r="S12" s="77">
        <v>0</v>
      </c>
      <c r="T12" s="91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7"/>
    </row>
    <row r="13" spans="1:24" s="92" customFormat="1" ht="15">
      <c r="A13" s="97" t="s">
        <v>253</v>
      </c>
      <c r="B13" s="97" t="s">
        <v>212</v>
      </c>
      <c r="C13" s="97" t="s">
        <v>41</v>
      </c>
      <c r="D13" s="47">
        <v>129</v>
      </c>
      <c r="E13" s="97" t="s">
        <v>809</v>
      </c>
      <c r="F13" s="98" t="s">
        <v>808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391</v>
      </c>
      <c r="L13" s="90">
        <v>45349</v>
      </c>
      <c r="M13" s="90">
        <v>45351</v>
      </c>
      <c r="N13" s="95">
        <f>1122.63/2</f>
        <v>561.31500000000005</v>
      </c>
      <c r="O13" s="95">
        <f>1122.63/2</f>
        <v>561.31500000000005</v>
      </c>
      <c r="P13" s="95">
        <f t="shared" si="11"/>
        <v>1122.6300000000001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7"/>
    </row>
    <row r="14" spans="1:24" s="92" customFormat="1" ht="15">
      <c r="A14" s="97" t="s">
        <v>253</v>
      </c>
      <c r="B14" s="97" t="s">
        <v>212</v>
      </c>
      <c r="C14" s="97" t="s">
        <v>620</v>
      </c>
      <c r="D14" s="47">
        <v>365</v>
      </c>
      <c r="E14" s="97" t="s">
        <v>34</v>
      </c>
      <c r="F14" s="98" t="s">
        <v>808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45349</v>
      </c>
      <c r="M14" s="90">
        <v>45351</v>
      </c>
      <c r="N14" s="95">
        <f>1122.64/2</f>
        <v>561.32000000000005</v>
      </c>
      <c r="O14" s="95">
        <f>1122.64/2</f>
        <v>561.32000000000005</v>
      </c>
      <c r="P14" s="95">
        <f t="shared" si="11"/>
        <v>1122.6400000000001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7"/>
    </row>
    <row r="15" spans="1:24" s="92" customFormat="1" ht="15">
      <c r="A15" s="97" t="s">
        <v>253</v>
      </c>
      <c r="B15" s="97" t="s">
        <v>212</v>
      </c>
      <c r="C15" s="97" t="s">
        <v>270</v>
      </c>
      <c r="D15" s="47" t="s">
        <v>168</v>
      </c>
      <c r="E15" s="97" t="s">
        <v>599</v>
      </c>
      <c r="F15" s="98" t="s">
        <v>808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45349</v>
      </c>
      <c r="M15" s="90">
        <v>45351</v>
      </c>
      <c r="N15" s="95">
        <f>1122.64/2</f>
        <v>561.32000000000005</v>
      </c>
      <c r="O15" s="95">
        <f>1122.64/2</f>
        <v>561.32000000000005</v>
      </c>
      <c r="P15" s="95">
        <f t="shared" si="11"/>
        <v>1122.6400000000001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7"/>
    </row>
    <row r="16" spans="1:24" s="92" customFormat="1" ht="15">
      <c r="A16" s="97" t="s">
        <v>253</v>
      </c>
      <c r="B16" s="97" t="s">
        <v>322</v>
      </c>
      <c r="C16" s="97" t="s">
        <v>327</v>
      </c>
      <c r="D16" s="47">
        <v>87</v>
      </c>
      <c r="E16" s="97" t="s">
        <v>329</v>
      </c>
      <c r="F16" s="98" t="s">
        <v>808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45349</v>
      </c>
      <c r="M16" s="90">
        <v>45351</v>
      </c>
      <c r="N16" s="95">
        <f>2726.78/2</f>
        <v>1363.39</v>
      </c>
      <c r="O16" s="95">
        <f>2726.78/2</f>
        <v>1363.39</v>
      </c>
      <c r="P16" s="95">
        <f t="shared" si="11"/>
        <v>2726.78</v>
      </c>
      <c r="Q16" s="77">
        <v>3</v>
      </c>
      <c r="R16" s="91">
        <v>120</v>
      </c>
      <c r="S16" s="77">
        <v>0</v>
      </c>
      <c r="T16" s="91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7"/>
    </row>
    <row r="17" spans="1:24" s="92" customFormat="1" ht="15">
      <c r="A17" s="97" t="s">
        <v>253</v>
      </c>
      <c r="B17" s="97" t="s">
        <v>253</v>
      </c>
      <c r="C17" s="97" t="s">
        <v>675</v>
      </c>
      <c r="D17" s="47">
        <v>383</v>
      </c>
      <c r="E17" s="97" t="s">
        <v>698</v>
      </c>
      <c r="F17" s="98" t="s">
        <v>810</v>
      </c>
      <c r="G17" s="97" t="s">
        <v>36</v>
      </c>
      <c r="H17" s="97" t="s">
        <v>37</v>
      </c>
      <c r="I17" s="97" t="s">
        <v>38</v>
      </c>
      <c r="J17" s="97" t="s">
        <v>62</v>
      </c>
      <c r="K17" s="97" t="s">
        <v>414</v>
      </c>
      <c r="L17" s="90">
        <v>45342</v>
      </c>
      <c r="M17" s="90">
        <v>45343</v>
      </c>
      <c r="N17" s="95">
        <f>2941.87/2</f>
        <v>1470.9349999999999</v>
      </c>
      <c r="O17" s="95">
        <f>2941.87/2</f>
        <v>1470.9349999999999</v>
      </c>
      <c r="P17" s="95">
        <f t="shared" ref="P17" si="15">SUM(N17:O17)</f>
        <v>2941.87</v>
      </c>
      <c r="Q17" s="77">
        <v>2</v>
      </c>
      <c r="R17" s="91">
        <v>120</v>
      </c>
      <c r="S17" s="77">
        <v>0</v>
      </c>
      <c r="T17" s="91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7"/>
    </row>
    <row r="18" spans="1:24" s="92" customFormat="1" ht="15">
      <c r="A18" s="97" t="s">
        <v>253</v>
      </c>
      <c r="B18" s="97" t="s">
        <v>288</v>
      </c>
      <c r="C18" s="97" t="s">
        <v>237</v>
      </c>
      <c r="D18" s="47">
        <v>82</v>
      </c>
      <c r="E18" s="97" t="s">
        <v>84</v>
      </c>
      <c r="F18" s="98" t="s">
        <v>810</v>
      </c>
      <c r="G18" s="97" t="s">
        <v>36</v>
      </c>
      <c r="H18" s="97" t="s">
        <v>37</v>
      </c>
      <c r="I18" s="97" t="s">
        <v>38</v>
      </c>
      <c r="J18" s="97" t="s">
        <v>62</v>
      </c>
      <c r="K18" s="97" t="s">
        <v>414</v>
      </c>
      <c r="L18" s="90">
        <v>45342</v>
      </c>
      <c r="M18" s="90">
        <v>45343</v>
      </c>
      <c r="N18" s="95">
        <f>2941.87/2</f>
        <v>1470.9349999999999</v>
      </c>
      <c r="O18" s="95">
        <f>2941.87/2</f>
        <v>1470.9349999999999</v>
      </c>
      <c r="P18" s="95">
        <f t="shared" ref="P18" si="19">SUM(N18:O18)</f>
        <v>2941.87</v>
      </c>
      <c r="Q18" s="77">
        <v>2</v>
      </c>
      <c r="R18" s="91">
        <v>120</v>
      </c>
      <c r="S18" s="77">
        <v>0</v>
      </c>
      <c r="T18" s="91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7"/>
    </row>
    <row r="19" spans="1:24" s="92" customFormat="1" ht="1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98" t="s">
        <v>811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45349</v>
      </c>
      <c r="M19" s="90">
        <v>45350</v>
      </c>
      <c r="N19" s="95">
        <f>3223.89/2</f>
        <v>1611.9449999999999</v>
      </c>
      <c r="O19" s="95">
        <f>3223.89/2</f>
        <v>1611.9449999999999</v>
      </c>
      <c r="P19" s="95">
        <f t="shared" ref="P19" si="23">SUM(N19:O19)</f>
        <v>3223.89</v>
      </c>
      <c r="Q19" s="77">
        <v>2</v>
      </c>
      <c r="R19" s="91">
        <v>120</v>
      </c>
      <c r="S19" s="77">
        <v>0</v>
      </c>
      <c r="T19" s="91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7"/>
    </row>
    <row r="20" spans="1:24" ht="15">
      <c r="A20" s="181" t="s">
        <v>231</v>
      </c>
      <c r="B20" s="181" t="s">
        <v>231</v>
      </c>
      <c r="C20" s="176" t="s">
        <v>704</v>
      </c>
      <c r="D20" s="167">
        <v>0</v>
      </c>
      <c r="E20" s="181" t="s">
        <v>562</v>
      </c>
      <c r="F20" s="171" t="s">
        <v>812</v>
      </c>
      <c r="G20" s="97" t="s">
        <v>36</v>
      </c>
      <c r="H20" s="97" t="s">
        <v>37</v>
      </c>
      <c r="I20" s="97" t="s">
        <v>38</v>
      </c>
      <c r="J20" s="97" t="s">
        <v>127</v>
      </c>
      <c r="K20" s="97" t="s">
        <v>63</v>
      </c>
      <c r="L20" s="94">
        <v>45347</v>
      </c>
      <c r="M20" s="94">
        <v>45349</v>
      </c>
      <c r="N20" s="163">
        <f>(1185.19+2838.3)/3</f>
        <v>1341.1633333333334</v>
      </c>
      <c r="O20" s="163">
        <f>(1185.19+2838.3)/3</f>
        <v>1341.1633333333334</v>
      </c>
      <c r="P20" s="163">
        <f>SUM(N20:O22)</f>
        <v>2682.3266666666668</v>
      </c>
      <c r="Q20" s="174">
        <v>0</v>
      </c>
      <c r="R20" s="163">
        <v>0</v>
      </c>
      <c r="S20" s="174">
        <v>0</v>
      </c>
      <c r="T20" s="163">
        <v>0</v>
      </c>
      <c r="U20" s="174">
        <v>0</v>
      </c>
      <c r="V20" s="158">
        <f t="shared" si="25"/>
        <v>2682.3266666666668</v>
      </c>
      <c r="W20" s="158">
        <f t="shared" si="26"/>
        <v>2682.3266666666668</v>
      </c>
      <c r="X20" s="157"/>
    </row>
    <row r="21" spans="1:24" ht="15">
      <c r="A21" s="183"/>
      <c r="B21" s="183"/>
      <c r="C21" s="176"/>
      <c r="D21" s="168"/>
      <c r="E21" s="183"/>
      <c r="F21" s="172"/>
      <c r="G21" s="97" t="s">
        <v>36</v>
      </c>
      <c r="H21" s="97" t="s">
        <v>127</v>
      </c>
      <c r="I21" s="97" t="s">
        <v>63</v>
      </c>
      <c r="J21" s="97" t="s">
        <v>39</v>
      </c>
      <c r="K21" s="97" t="s">
        <v>40</v>
      </c>
      <c r="L21" s="94">
        <v>45349</v>
      </c>
      <c r="M21" s="94">
        <v>45350</v>
      </c>
      <c r="N21" s="170"/>
      <c r="O21" s="170"/>
      <c r="P21" s="170"/>
      <c r="Q21" s="174"/>
      <c r="R21" s="170"/>
      <c r="S21" s="174"/>
      <c r="T21" s="170"/>
      <c r="U21" s="174"/>
      <c r="V21" s="175"/>
      <c r="W21" s="175"/>
      <c r="X21" s="157"/>
    </row>
    <row r="22" spans="1:24" ht="15">
      <c r="A22" s="182"/>
      <c r="B22" s="182"/>
      <c r="C22" s="176"/>
      <c r="D22" s="169"/>
      <c r="E22" s="182"/>
      <c r="F22" s="173"/>
      <c r="G22" s="97" t="s">
        <v>36</v>
      </c>
      <c r="H22" s="97" t="s">
        <v>39</v>
      </c>
      <c r="I22" s="97" t="s">
        <v>40</v>
      </c>
      <c r="J22" s="97" t="s">
        <v>37</v>
      </c>
      <c r="K22" s="97" t="s">
        <v>38</v>
      </c>
      <c r="L22" s="94">
        <v>45350</v>
      </c>
      <c r="M22" s="94">
        <v>45350</v>
      </c>
      <c r="N22" s="164"/>
      <c r="O22" s="164"/>
      <c r="P22" s="164"/>
      <c r="Q22" s="174"/>
      <c r="R22" s="164"/>
      <c r="S22" s="174"/>
      <c r="T22" s="164"/>
      <c r="U22" s="174"/>
      <c r="V22" s="159"/>
      <c r="W22" s="159"/>
      <c r="X22" s="157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G3:G4"/>
    <mergeCell ref="H3:I3"/>
    <mergeCell ref="F20:F22"/>
    <mergeCell ref="J3:K3"/>
    <mergeCell ref="L3:L4"/>
    <mergeCell ref="M3:M4"/>
    <mergeCell ref="N3:N4"/>
    <mergeCell ref="A20:A22"/>
    <mergeCell ref="B20:B22"/>
    <mergeCell ref="C20:C22"/>
    <mergeCell ref="D20:D22"/>
    <mergeCell ref="E20:E22"/>
    <mergeCell ref="S20:S22"/>
    <mergeCell ref="Q3:R3"/>
    <mergeCell ref="S3:T3"/>
    <mergeCell ref="U3:U4"/>
    <mergeCell ref="V3:V4"/>
    <mergeCell ref="N20:N22"/>
    <mergeCell ref="O20:O22"/>
    <mergeCell ref="P20:P22"/>
    <mergeCell ref="Q20:Q22"/>
    <mergeCell ref="R20:R22"/>
    <mergeCell ref="T20:T22"/>
    <mergeCell ref="U20:U22"/>
    <mergeCell ref="V20:V22"/>
    <mergeCell ref="W20:W22"/>
    <mergeCell ref="X20:X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43160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7" t="s">
        <v>0</v>
      </c>
      <c r="W5" s="177"/>
      <c r="X5" s="8">
        <v>43191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Michele Maciel de Souza</cp:lastModifiedBy>
  <cp:revision>9</cp:revision>
  <dcterms:created xsi:type="dcterms:W3CDTF">2017-08-07T12:58:20Z</dcterms:created>
  <dcterms:modified xsi:type="dcterms:W3CDTF">2025-01-22T17:58:29Z</dcterms:modified>
  <cp:category/>
  <cp:contentStatus/>
</cp:coreProperties>
</file>