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1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E\SEGE\GOVERNANÇA\LAI\ESTRUTURA PADRÃO DAS INFORMAÇÕES\10. EXECUÇÃO ORÇAMENTÁRIA E FINANCEIRA - Renan-Isabela\2023\"/>
    </mc:Choice>
  </mc:AlternateContent>
  <xr:revisionPtr revIDLastSave="0" documentId="8_{CDE0E17F-FD65-4D59-AEEB-7BCC2EE0A1E5}" xr6:coauthVersionLast="47" xr6:coauthVersionMax="47" xr10:uidLastSave="{00000000-0000-0000-0000-000000000000}"/>
  <bookViews>
    <workbookView xWindow="-120" yWindow="-120" windowWidth="24240" windowHeight="13140" firstSheet="63" activeTab="63" xr2:uid="{00000000-000D-0000-FFFF-FFFF00000000}"/>
  </bookViews>
  <sheets>
    <sheet name="EXECUTADO_-_JUL_-_2017" sheetId="6" r:id="rId1"/>
    <sheet name="EXECUTADO_-_AGO_-_2017 " sheetId="7" r:id="rId2"/>
    <sheet name="EXECUTADO_-_SET_-_2017  " sheetId="8" r:id="rId3"/>
    <sheet name="EXECUTADO_-_OUT_-_2017" sheetId="9" r:id="rId4"/>
    <sheet name="EXECUTADO_-_NOV_-_2017 " sheetId="10" r:id="rId5"/>
    <sheet name="EXECUTADO_-_DEZ_-_2017" sheetId="11" r:id="rId6"/>
    <sheet name="EXECUTADO_-_JAN_-_2018" sheetId="12" r:id="rId7"/>
    <sheet name="EXECUTADO_-_MARÇO_-_2018" sheetId="13" r:id="rId8"/>
    <sheet name="EXECUTADO_-_ABRIL_-_2018" sheetId="14" r:id="rId9"/>
    <sheet name="EXECUTADO_-_JUNHO_-_2018" sheetId="16" r:id="rId10"/>
    <sheet name="EXECUTADO_-_JULHO_-_2018" sheetId="17" r:id="rId11"/>
    <sheet name="EXECUTADO_-AGOSTO -_2018" sheetId="18" r:id="rId12"/>
    <sheet name="EXECUTADO_- SETEMBRO -_2018" sheetId="19" r:id="rId13"/>
    <sheet name="EXECUTADO_- OUTUBRO -_2018 " sheetId="20" r:id="rId14"/>
    <sheet name="EXECUTADO_- NOVEMBRO -_2018" sheetId="21" r:id="rId15"/>
    <sheet name="EXECUTADO_- DEZEMBRO - 2018" sheetId="22" r:id="rId16"/>
    <sheet name="EXECUTADO_- JANEIRO -_2019" sheetId="23" r:id="rId17"/>
    <sheet name="EXECUTADO_- FEVEREIRO -_2019" sheetId="24" r:id="rId18"/>
    <sheet name="EXECUTADO_- MARÇO -_2019 " sheetId="25" r:id="rId19"/>
    <sheet name="EXECUTADO_- ABRIL -_2019" sheetId="26" r:id="rId20"/>
    <sheet name="EXECUTADO_- MAIO -_2019" sheetId="27" r:id="rId21"/>
    <sheet name="EXECUTADO_- JUNHO -_2019" sheetId="28" r:id="rId22"/>
    <sheet name="EXECUTADO_- AGOSTO -_2019" sheetId="31" r:id="rId23"/>
    <sheet name="EXECUTADO_- SETEMBRO -_2019" sheetId="32" r:id="rId24"/>
    <sheet name="EXECUTADO_- OUTUBRO -_2019" sheetId="34" r:id="rId25"/>
    <sheet name="EXECUTADO_- NOVEMBRO -_2019" sheetId="35" r:id="rId26"/>
    <sheet name="EXECUTADO_- DEZEMBRO -_2019" sheetId="36" r:id="rId27"/>
    <sheet name="EXECUTADO_- JANEIRO -_2020" sheetId="38" r:id="rId28"/>
    <sheet name="EXECUTADO_- FEVEREIRO -_2020" sheetId="39" r:id="rId29"/>
    <sheet name="EXECUTADO_- MARÇO -_2020" sheetId="42" r:id="rId30"/>
    <sheet name="EXECUTADO_- ABRIL -_2020" sheetId="41" r:id="rId31"/>
    <sheet name="EXECUTADO_- MAIO -_2020" sheetId="43" r:id="rId32"/>
    <sheet name="EXECUTADO_- JUNHO -_2020" sheetId="44" r:id="rId33"/>
    <sheet name="EXECUTADO_- JULHO -_2020" sheetId="45" r:id="rId34"/>
    <sheet name="EXECUTADO_- AGOSTO -_2020" sheetId="46" r:id="rId35"/>
    <sheet name="EXECUTADO_- SETEMBRO -_2020" sheetId="47" r:id="rId36"/>
    <sheet name="EXECUTADO_- OUTUBRO -_2020" sheetId="48" r:id="rId37"/>
    <sheet name="EXECUTADO_- NOVEMBRO -_2020" sheetId="49" r:id="rId38"/>
    <sheet name="EXECUTADO_- DEZEMBRO -_2020" sheetId="50" r:id="rId39"/>
    <sheet name="EXECUTADO_- JANEIRO -_2021" sheetId="51" r:id="rId40"/>
    <sheet name="EXECUTADO_- FEVEREIRO -_2021" sheetId="52" r:id="rId41"/>
    <sheet name="EXECUTADO_- MARÇO -_2021" sheetId="54" r:id="rId42"/>
    <sheet name="EXECUTADO_- ABRIL -_2021" sheetId="55" r:id="rId43"/>
    <sheet name="EXECUTADO_- MAIO -_2021" sheetId="56" r:id="rId44"/>
    <sheet name="EXECUTADO_- JUNHO -_2021" sheetId="57" r:id="rId45"/>
    <sheet name="EXECUTADO_- JULHO -_2021" sheetId="58" r:id="rId46"/>
    <sheet name="EXECUTADO_- AGOSTO -_2021" sheetId="59" r:id="rId47"/>
    <sheet name="EXECUTADO_- SETEMBRO -_2021" sheetId="60" r:id="rId48"/>
    <sheet name="EXECUTADO_- OUTUBRO -_2021" sheetId="61" r:id="rId49"/>
    <sheet name="EXECUTADO_- NOVEMBRO -_2021" sheetId="62" r:id="rId50"/>
    <sheet name="EXECUTADO_- DEZEMBRO -_2021" sheetId="63" r:id="rId51"/>
    <sheet name="EXECUTADO_- JANEIRO -_2022" sheetId="64" r:id="rId52"/>
    <sheet name="EXECUTADO_- FEVEREIRO -_2022" sheetId="65" r:id="rId53"/>
    <sheet name="EXECUTADO_- MARÇO -_2022" sheetId="66" r:id="rId54"/>
    <sheet name="EXECUTADO_- ABRIL -_2022" sheetId="67" r:id="rId55"/>
    <sheet name="EXECUTADO_- Maio -_2022" sheetId="69" r:id="rId56"/>
    <sheet name="EXECUTADO_- Junho -_2022" sheetId="70" r:id="rId57"/>
    <sheet name="EXECUTADO_- Julho -_2022" sheetId="71" r:id="rId58"/>
    <sheet name="EXECUTADO_- Agosto -_2022" sheetId="72" r:id="rId59"/>
    <sheet name="EXECUTADO_- Setembro -_2022" sheetId="73" r:id="rId60"/>
    <sheet name="EXECUTADO_- Outubro -_2022" sheetId="74" r:id="rId61"/>
    <sheet name="EXECUTADO_- Novembro -_2022" sheetId="75" r:id="rId62"/>
    <sheet name="EXECUTADO_- Dezembro -_2022" sheetId="76" r:id="rId63"/>
    <sheet name="EXECUTADO_- Janeiro -_2023" sheetId="77" r:id="rId64"/>
    <sheet name="Plan2" sheetId="68" r:id="rId6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7" i="77" l="1"/>
  <c r="P7" i="77"/>
  <c r="V7" i="77" s="1"/>
  <c r="W7" i="77" s="1"/>
  <c r="U6" i="77"/>
  <c r="P6" i="77"/>
  <c r="U5" i="77"/>
  <c r="P5" i="77"/>
  <c r="V6" i="77" l="1"/>
  <c r="W6" i="77" s="1"/>
  <c r="V5" i="77"/>
  <c r="W5" i="77" s="1"/>
  <c r="O7" i="76"/>
  <c r="N7" i="76"/>
  <c r="O6" i="76"/>
  <c r="N6" i="76"/>
  <c r="O5" i="76"/>
  <c r="N5" i="76"/>
  <c r="U7" i="76"/>
  <c r="P7" i="76"/>
  <c r="V7" i="76" s="1"/>
  <c r="W7" i="76" s="1"/>
  <c r="U6" i="76"/>
  <c r="U5" i="76"/>
  <c r="P6" i="76" l="1"/>
  <c r="V6" i="76" s="1"/>
  <c r="W6" i="76" s="1"/>
  <c r="P5" i="76"/>
  <c r="V5" i="76" s="1"/>
  <c r="W5" i="76" s="1"/>
  <c r="U6" i="75"/>
  <c r="U7" i="75"/>
  <c r="U8" i="75"/>
  <c r="U9" i="75"/>
  <c r="U10" i="75"/>
  <c r="U11" i="75"/>
  <c r="O11" i="75"/>
  <c r="N11" i="75"/>
  <c r="O10" i="75"/>
  <c r="N10" i="75"/>
  <c r="P10" i="75" s="1"/>
  <c r="O9" i="75"/>
  <c r="N9" i="75"/>
  <c r="P9" i="75" s="1"/>
  <c r="O8" i="75"/>
  <c r="N8" i="75"/>
  <c r="O6" i="75"/>
  <c r="N6" i="75"/>
  <c r="P7" i="75"/>
  <c r="U5" i="75"/>
  <c r="P5" i="75"/>
  <c r="P6" i="75" l="1"/>
  <c r="V6" i="75" s="1"/>
  <c r="W6" i="75" s="1"/>
  <c r="P11" i="75"/>
  <c r="V11" i="75" s="1"/>
  <c r="W11" i="75" s="1"/>
  <c r="P8" i="75"/>
  <c r="V8" i="75"/>
  <c r="W8" i="75" s="1"/>
  <c r="V10" i="75"/>
  <c r="W10" i="75" s="1"/>
  <c r="V9" i="75"/>
  <c r="W9" i="75" s="1"/>
  <c r="V7" i="75"/>
  <c r="W7" i="75" s="1"/>
  <c r="V5" i="75"/>
  <c r="W5" i="75" s="1"/>
  <c r="O6" i="74"/>
  <c r="O7" i="74"/>
  <c r="N7" i="74"/>
  <c r="N6" i="74"/>
  <c r="P6" i="74"/>
  <c r="O5" i="74"/>
  <c r="N5" i="74"/>
  <c r="U7" i="74"/>
  <c r="U6" i="74"/>
  <c r="U5" i="74"/>
  <c r="P7" i="74" l="1"/>
  <c r="P5" i="74"/>
  <c r="V5" i="74" s="1"/>
  <c r="W5" i="74" s="1"/>
  <c r="V7" i="74"/>
  <c r="W7" i="74" s="1"/>
  <c r="V6" i="74"/>
  <c r="W6" i="74" s="1"/>
  <c r="O8" i="73"/>
  <c r="N8" i="73"/>
  <c r="O6" i="73"/>
  <c r="N6" i="73"/>
  <c r="O5" i="73"/>
  <c r="N5" i="73"/>
  <c r="U8" i="73"/>
  <c r="P8" i="73"/>
  <c r="U7" i="73"/>
  <c r="P7" i="73"/>
  <c r="U6" i="73"/>
  <c r="U5" i="73"/>
  <c r="V8" i="73" l="1"/>
  <c r="W8" i="73" s="1"/>
  <c r="V7" i="73"/>
  <c r="W7" i="73" s="1"/>
  <c r="P5" i="73"/>
  <c r="P6" i="73"/>
  <c r="V6" i="73" s="1"/>
  <c r="W6" i="73" s="1"/>
  <c r="V5" i="73"/>
  <c r="W5" i="73" s="1"/>
  <c r="U6" i="72"/>
  <c r="U7" i="72"/>
  <c r="U8" i="72"/>
  <c r="U9" i="72"/>
  <c r="U10" i="72"/>
  <c r="U11" i="72"/>
  <c r="U12" i="72"/>
  <c r="U5" i="72"/>
  <c r="O12" i="72"/>
  <c r="N12" i="72"/>
  <c r="O11" i="72"/>
  <c r="N11" i="72"/>
  <c r="P11" i="72" s="1"/>
  <c r="O10" i="72"/>
  <c r="N10" i="72"/>
  <c r="P10" i="72" s="1"/>
  <c r="O9" i="72"/>
  <c r="N9" i="72"/>
  <c r="P9" i="72" s="1"/>
  <c r="O8" i="72"/>
  <c r="N8" i="72"/>
  <c r="P8" i="72" s="1"/>
  <c r="O7" i="72"/>
  <c r="N7" i="72"/>
  <c r="O6" i="72"/>
  <c r="N6" i="72"/>
  <c r="P6" i="72" s="1"/>
  <c r="V6" i="72" s="1"/>
  <c r="W6" i="72" s="1"/>
  <c r="O5" i="72"/>
  <c r="N5" i="72"/>
  <c r="P5" i="72" s="1"/>
  <c r="P7" i="72" l="1"/>
  <c r="P12" i="72"/>
  <c r="V12" i="72"/>
  <c r="W12" i="72" s="1"/>
  <c r="V5" i="72"/>
  <c r="W5" i="72" s="1"/>
  <c r="V11" i="72"/>
  <c r="W11" i="72" s="1"/>
  <c r="V9" i="72"/>
  <c r="W9" i="72" s="1"/>
  <c r="V8" i="72"/>
  <c r="W8" i="72" s="1"/>
  <c r="V7" i="72"/>
  <c r="W7" i="72" s="1"/>
  <c r="V10" i="72"/>
  <c r="W10" i="72" s="1"/>
  <c r="U5" i="71"/>
  <c r="O5" i="71"/>
  <c r="N5" i="71"/>
  <c r="P5" i="71" s="1"/>
  <c r="V5" i="71" l="1"/>
  <c r="W5" i="71" s="1"/>
  <c r="O6" i="70"/>
  <c r="N6" i="70"/>
  <c r="O5" i="70"/>
  <c r="N5" i="70"/>
  <c r="U6" i="70"/>
  <c r="U5" i="70"/>
  <c r="P6" i="70" l="1"/>
  <c r="V6" i="70"/>
  <c r="W6" i="70" s="1"/>
  <c r="P5" i="70"/>
  <c r="V5" i="70" s="1"/>
  <c r="W5" i="70" s="1"/>
  <c r="O8" i="69"/>
  <c r="N8" i="69"/>
  <c r="O6" i="69"/>
  <c r="N6" i="69"/>
  <c r="P6" i="69" s="1"/>
  <c r="U11" i="69"/>
  <c r="P11" i="69"/>
  <c r="U10" i="69"/>
  <c r="P10" i="69"/>
  <c r="U9" i="69"/>
  <c r="P9" i="69"/>
  <c r="U8" i="69"/>
  <c r="U7" i="69"/>
  <c r="P7" i="69"/>
  <c r="U6" i="69"/>
  <c r="U5" i="69"/>
  <c r="P5" i="69"/>
  <c r="P8" i="69" l="1"/>
  <c r="V11" i="69"/>
  <c r="W11" i="69" s="1"/>
  <c r="V10" i="69"/>
  <c r="W10" i="69" s="1"/>
  <c r="V9" i="69"/>
  <c r="W9" i="69" s="1"/>
  <c r="V8" i="69"/>
  <c r="W8" i="69" s="1"/>
  <c r="V7" i="69"/>
  <c r="W7" i="69" s="1"/>
  <c r="V6" i="69"/>
  <c r="W6" i="69" s="1"/>
  <c r="V5" i="69"/>
  <c r="W5" i="69" s="1"/>
  <c r="P7" i="67"/>
  <c r="P8" i="67"/>
  <c r="P9" i="67"/>
  <c r="P10" i="67"/>
  <c r="P11" i="67"/>
  <c r="P12" i="67"/>
  <c r="P13" i="67"/>
  <c r="P14" i="67"/>
  <c r="P15" i="67"/>
  <c r="P16" i="67"/>
  <c r="P17" i="67"/>
  <c r="P18" i="67"/>
  <c r="P19" i="67"/>
  <c r="P20" i="67"/>
  <c r="P21" i="67"/>
  <c r="P22" i="67"/>
  <c r="P23" i="67"/>
  <c r="P24" i="67"/>
  <c r="P25" i="67"/>
  <c r="P26" i="67"/>
  <c r="P27" i="67"/>
  <c r="P28" i="67"/>
  <c r="P29" i="67"/>
  <c r="U8" i="67"/>
  <c r="U9" i="67"/>
  <c r="U10" i="67"/>
  <c r="U11" i="67"/>
  <c r="U12" i="67"/>
  <c r="U13" i="67"/>
  <c r="U14" i="67"/>
  <c r="U15" i="67"/>
  <c r="U16" i="67"/>
  <c r="U17" i="67"/>
  <c r="V17" i="67" s="1"/>
  <c r="W17" i="67" s="1"/>
  <c r="U18" i="67"/>
  <c r="V18" i="67" s="1"/>
  <c r="W18" i="67" s="1"/>
  <c r="U19" i="67"/>
  <c r="U20" i="67"/>
  <c r="U21" i="67"/>
  <c r="U22" i="67"/>
  <c r="U23" i="67"/>
  <c r="V23" i="67" s="1"/>
  <c r="W23" i="67" s="1"/>
  <c r="U24" i="67"/>
  <c r="V24" i="67" s="1"/>
  <c r="W24" i="67" s="1"/>
  <c r="U25" i="67"/>
  <c r="V25" i="67" s="1"/>
  <c r="W25" i="67" s="1"/>
  <c r="U26" i="67"/>
  <c r="U27" i="67"/>
  <c r="U28" i="67"/>
  <c r="U29" i="67"/>
  <c r="U7" i="67"/>
  <c r="U6" i="67"/>
  <c r="P6" i="67"/>
  <c r="U5" i="67"/>
  <c r="P5" i="67"/>
  <c r="V29" i="67" l="1"/>
  <c r="W29" i="67" s="1"/>
  <c r="V13" i="67"/>
  <c r="W13" i="67" s="1"/>
  <c r="V12" i="67"/>
  <c r="W12" i="67" s="1"/>
  <c r="V19" i="67"/>
  <c r="W19" i="67" s="1"/>
  <c r="V11" i="67"/>
  <c r="W11" i="67" s="1"/>
  <c r="V28" i="67"/>
  <c r="W28" i="67" s="1"/>
  <c r="V22" i="67"/>
  <c r="W22" i="67" s="1"/>
  <c r="V16" i="67"/>
  <c r="W16" i="67" s="1"/>
  <c r="V26" i="67"/>
  <c r="W26" i="67" s="1"/>
  <c r="V20" i="67"/>
  <c r="W20" i="67" s="1"/>
  <c r="V14" i="67"/>
  <c r="W14" i="67" s="1"/>
  <c r="V8" i="67"/>
  <c r="W8" i="67" s="1"/>
  <c r="V10" i="67"/>
  <c r="W10" i="67" s="1"/>
  <c r="V27" i="67"/>
  <c r="W27" i="67" s="1"/>
  <c r="V21" i="67"/>
  <c r="W21" i="67" s="1"/>
  <c r="V15" i="67"/>
  <c r="W15" i="67" s="1"/>
  <c r="V9" i="67"/>
  <c r="W9" i="67" s="1"/>
  <c r="V5" i="67"/>
  <c r="W5" i="67" s="1"/>
  <c r="V7" i="67"/>
  <c r="W7" i="67" s="1"/>
  <c r="V6" i="67"/>
  <c r="W6" i="67" s="1"/>
  <c r="O7" i="66"/>
  <c r="N7" i="66"/>
  <c r="U7" i="66"/>
  <c r="P7" i="66"/>
  <c r="O6" i="66"/>
  <c r="N6" i="66"/>
  <c r="P6" i="66" s="1"/>
  <c r="O5" i="66"/>
  <c r="N5" i="66"/>
  <c r="U6" i="66"/>
  <c r="U5" i="66"/>
  <c r="P5" i="66" l="1"/>
  <c r="V7" i="66"/>
  <c r="W7" i="66" s="1"/>
  <c r="V5" i="66"/>
  <c r="W5" i="66" s="1"/>
  <c r="V6" i="66"/>
  <c r="W6" i="66" s="1"/>
  <c r="O5" i="65"/>
  <c r="N5" i="65"/>
  <c r="U5" i="65"/>
  <c r="P5" i="65" l="1"/>
  <c r="V5" i="65" s="1"/>
  <c r="W5" i="65" s="1"/>
  <c r="O5" i="64"/>
  <c r="N5" i="64"/>
  <c r="P5" i="64" s="1"/>
  <c r="U5" i="64"/>
  <c r="V5" i="64" l="1"/>
  <c r="W5" i="64" s="1"/>
  <c r="O8" i="63"/>
  <c r="N8" i="63"/>
  <c r="P8" i="63" s="1"/>
  <c r="O7" i="63"/>
  <c r="N7" i="63"/>
  <c r="N6" i="63"/>
  <c r="O6" i="63"/>
  <c r="O5" i="63"/>
  <c r="N5" i="63"/>
  <c r="U8" i="63"/>
  <c r="U7" i="63"/>
  <c r="P7" i="63"/>
  <c r="U6" i="63"/>
  <c r="P6" i="63"/>
  <c r="U5" i="63"/>
  <c r="P5" i="63" l="1"/>
  <c r="V6" i="63"/>
  <c r="W6" i="63" s="1"/>
  <c r="V8" i="63"/>
  <c r="W8" i="63" s="1"/>
  <c r="V7" i="63"/>
  <c r="W7" i="63" s="1"/>
  <c r="V5" i="63"/>
  <c r="W5" i="63" s="1"/>
  <c r="O9" i="62"/>
  <c r="N9" i="62"/>
  <c r="O7" i="62"/>
  <c r="N7" i="62"/>
  <c r="P8" i="62"/>
  <c r="P10" i="62"/>
  <c r="P11" i="62"/>
  <c r="N6" i="62"/>
  <c r="O6" i="62"/>
  <c r="O5" i="62"/>
  <c r="N5" i="62"/>
  <c r="P5" i="62" s="1"/>
  <c r="U11" i="62"/>
  <c r="U10" i="62"/>
  <c r="U9" i="62"/>
  <c r="U8" i="62"/>
  <c r="U7" i="62"/>
  <c r="U6" i="62"/>
  <c r="U5" i="62"/>
  <c r="P7" i="62" l="1"/>
  <c r="V11" i="62"/>
  <c r="W11" i="62" s="1"/>
  <c r="P6" i="62"/>
  <c r="V6" i="62" s="1"/>
  <c r="W6" i="62" s="1"/>
  <c r="P9" i="62"/>
  <c r="V9" i="62" s="1"/>
  <c r="W9" i="62" s="1"/>
  <c r="V7" i="62"/>
  <c r="W7" i="62" s="1"/>
  <c r="V5" i="62"/>
  <c r="W5" i="62" s="1"/>
  <c r="V10" i="62"/>
  <c r="W10" i="62" s="1"/>
  <c r="V8" i="62"/>
  <c r="W8" i="62" s="1"/>
  <c r="U28" i="61"/>
  <c r="O28" i="61"/>
  <c r="N28" i="61"/>
  <c r="P28" i="61" s="1"/>
  <c r="U9" i="61"/>
  <c r="U10" i="61"/>
  <c r="U11" i="61"/>
  <c r="U12" i="61"/>
  <c r="U13" i="61"/>
  <c r="U14" i="61"/>
  <c r="U15" i="61"/>
  <c r="U16" i="61"/>
  <c r="U17" i="61"/>
  <c r="U18" i="61"/>
  <c r="U19" i="61"/>
  <c r="U20" i="61"/>
  <c r="U21" i="61"/>
  <c r="U22" i="61"/>
  <c r="U23" i="61"/>
  <c r="U24" i="61"/>
  <c r="U25" i="61"/>
  <c r="U26" i="61"/>
  <c r="U27" i="61"/>
  <c r="V28" i="61" l="1"/>
  <c r="W28" i="61" s="1"/>
  <c r="P11" i="61"/>
  <c r="V11" i="61" s="1"/>
  <c r="W11" i="61" s="1"/>
  <c r="P19" i="61"/>
  <c r="V19" i="61" s="1"/>
  <c r="W19" i="61" s="1"/>
  <c r="P24" i="61"/>
  <c r="V24" i="61" s="1"/>
  <c r="W24" i="61" s="1"/>
  <c r="O23" i="61"/>
  <c r="O27" i="61"/>
  <c r="O26" i="61"/>
  <c r="O25" i="61"/>
  <c r="N27" i="61"/>
  <c r="P27" i="61" s="1"/>
  <c r="V27" i="61" s="1"/>
  <c r="W27" i="61" s="1"/>
  <c r="N26" i="61"/>
  <c r="P26" i="61" s="1"/>
  <c r="V26" i="61" s="1"/>
  <c r="W26" i="61" s="1"/>
  <c r="N25" i="61"/>
  <c r="P25" i="61" s="1"/>
  <c r="V25" i="61" s="1"/>
  <c r="W25" i="61" s="1"/>
  <c r="N23" i="61"/>
  <c r="O22" i="61"/>
  <c r="O21" i="61"/>
  <c r="O20" i="61"/>
  <c r="O18" i="61"/>
  <c r="O17" i="61"/>
  <c r="O16" i="61"/>
  <c r="O15" i="61"/>
  <c r="O14" i="61"/>
  <c r="O13" i="61"/>
  <c r="O12" i="61"/>
  <c r="N22" i="61"/>
  <c r="P22" i="61" s="1"/>
  <c r="V22" i="61" s="1"/>
  <c r="W22" i="61" s="1"/>
  <c r="N21" i="61"/>
  <c r="P21" i="61" s="1"/>
  <c r="V21" i="61" s="1"/>
  <c r="W21" i="61" s="1"/>
  <c r="N20" i="61"/>
  <c r="N18" i="61"/>
  <c r="P18" i="61" s="1"/>
  <c r="V18" i="61" s="1"/>
  <c r="W18" i="61" s="1"/>
  <c r="N17" i="61"/>
  <c r="P17" i="61" s="1"/>
  <c r="V17" i="61" s="1"/>
  <c r="W17" i="61" s="1"/>
  <c r="N16" i="61"/>
  <c r="N15" i="61"/>
  <c r="N14" i="61"/>
  <c r="P14" i="61" s="1"/>
  <c r="V14" i="61" s="1"/>
  <c r="W14" i="61" s="1"/>
  <c r="N13" i="61"/>
  <c r="N12" i="61"/>
  <c r="P12" i="61" s="1"/>
  <c r="V12" i="61" s="1"/>
  <c r="W12" i="61" s="1"/>
  <c r="O10" i="61"/>
  <c r="N10" i="61"/>
  <c r="O9" i="61"/>
  <c r="N9" i="61"/>
  <c r="O8" i="61"/>
  <c r="N8" i="61"/>
  <c r="O7" i="61"/>
  <c r="N7" i="61"/>
  <c r="O6" i="61"/>
  <c r="N6" i="61"/>
  <c r="P6" i="61" s="1"/>
  <c r="O5" i="61"/>
  <c r="N5" i="61"/>
  <c r="U8" i="61"/>
  <c r="U7" i="61"/>
  <c r="U6" i="61"/>
  <c r="U5" i="61"/>
  <c r="P16" i="61" l="1"/>
  <c r="V16" i="61" s="1"/>
  <c r="W16" i="61" s="1"/>
  <c r="P7" i="61"/>
  <c r="P20" i="61"/>
  <c r="V20" i="61" s="1"/>
  <c r="W20" i="61" s="1"/>
  <c r="P10" i="61"/>
  <c r="V10" i="61" s="1"/>
  <c r="W10" i="61" s="1"/>
  <c r="P15" i="61"/>
  <c r="V15" i="61" s="1"/>
  <c r="W15" i="61" s="1"/>
  <c r="P13" i="61"/>
  <c r="V13" i="61" s="1"/>
  <c r="W13" i="61" s="1"/>
  <c r="P9" i="61"/>
  <c r="V9" i="61" s="1"/>
  <c r="W9" i="61" s="1"/>
  <c r="P23" i="61"/>
  <c r="V23" i="61" s="1"/>
  <c r="W23" i="61" s="1"/>
  <c r="P8" i="61"/>
  <c r="V8" i="61" s="1"/>
  <c r="W8" i="61" s="1"/>
  <c r="P5" i="61"/>
  <c r="V5" i="61" s="1"/>
  <c r="W5" i="61" s="1"/>
  <c r="V6" i="61"/>
  <c r="W6" i="61" s="1"/>
  <c r="V7" i="61"/>
  <c r="W7" i="61" s="1"/>
  <c r="O8" i="60"/>
  <c r="N8" i="60"/>
  <c r="P8" i="60" s="1"/>
  <c r="O5" i="60"/>
  <c r="N5" i="60"/>
  <c r="U8" i="60"/>
  <c r="U7" i="60"/>
  <c r="P7" i="60"/>
  <c r="U6" i="60"/>
  <c r="P6" i="60"/>
  <c r="U5" i="60"/>
  <c r="V7" i="60" l="1"/>
  <c r="W7" i="60" s="1"/>
  <c r="P5" i="60"/>
  <c r="V5" i="60" s="1"/>
  <c r="W5" i="60" s="1"/>
  <c r="V8" i="60"/>
  <c r="W8" i="60" s="1"/>
  <c r="V6" i="60"/>
  <c r="W6" i="60" s="1"/>
  <c r="N9" i="59"/>
  <c r="O9" i="59"/>
  <c r="O8" i="59"/>
  <c r="N8" i="59"/>
  <c r="P8" i="59" s="1"/>
  <c r="N7" i="59"/>
  <c r="O6" i="59"/>
  <c r="N6" i="59"/>
  <c r="O5" i="59"/>
  <c r="N5" i="59"/>
  <c r="P5" i="59" s="1"/>
  <c r="U9" i="59"/>
  <c r="P9" i="59"/>
  <c r="U8" i="59"/>
  <c r="U7" i="59"/>
  <c r="O7" i="59"/>
  <c r="P7" i="59" s="1"/>
  <c r="U6" i="59"/>
  <c r="P6" i="59"/>
  <c r="U5" i="59"/>
  <c r="V7" i="59" l="1"/>
  <c r="W7" i="59" s="1"/>
  <c r="V5" i="59"/>
  <c r="W5" i="59" s="1"/>
  <c r="V9" i="59"/>
  <c r="W9" i="59" s="1"/>
  <c r="V6" i="59"/>
  <c r="W6" i="59" s="1"/>
  <c r="V8" i="59"/>
  <c r="W8" i="59" s="1"/>
  <c r="O8" i="58"/>
  <c r="N8" i="58"/>
  <c r="U8" i="58"/>
  <c r="O7" i="58"/>
  <c r="N7" i="58"/>
  <c r="O6" i="58"/>
  <c r="N6" i="58"/>
  <c r="P6" i="58" s="1"/>
  <c r="O5" i="58"/>
  <c r="N5" i="58"/>
  <c r="P5" i="58" s="1"/>
  <c r="U7" i="58"/>
  <c r="P7" i="58"/>
  <c r="U6" i="58"/>
  <c r="U5" i="58"/>
  <c r="P8" i="58" l="1"/>
  <c r="V8" i="58"/>
  <c r="W8" i="58" s="1"/>
  <c r="V5" i="58"/>
  <c r="W5" i="58" s="1"/>
  <c r="V6" i="58"/>
  <c r="W6" i="58" s="1"/>
  <c r="V7" i="58"/>
  <c r="W7" i="58" s="1"/>
  <c r="O7" i="57"/>
  <c r="N7" i="57"/>
  <c r="P7" i="57" s="1"/>
  <c r="N6" i="57"/>
  <c r="O6" i="57"/>
  <c r="N5" i="57"/>
  <c r="O5" i="57"/>
  <c r="U7" i="57"/>
  <c r="U6" i="57"/>
  <c r="U5" i="57"/>
  <c r="P5" i="57" l="1"/>
  <c r="P6" i="57"/>
  <c r="V6" i="57" s="1"/>
  <c r="W6" i="57" s="1"/>
  <c r="V5" i="57"/>
  <c r="W5" i="57" s="1"/>
  <c r="V7" i="57"/>
  <c r="W7" i="57" s="1"/>
  <c r="U9" i="55"/>
  <c r="P9" i="55"/>
  <c r="U7" i="55"/>
  <c r="P7" i="55"/>
  <c r="V7" i="55" l="1"/>
  <c r="W7" i="55" s="1"/>
  <c r="V9" i="55"/>
  <c r="W9" i="55" s="1"/>
  <c r="O8" i="56"/>
  <c r="N8" i="56"/>
  <c r="P8" i="56"/>
  <c r="U8" i="56"/>
  <c r="N6" i="56"/>
  <c r="O6" i="56"/>
  <c r="N7" i="56"/>
  <c r="O7" i="56"/>
  <c r="O5" i="56"/>
  <c r="N5" i="56"/>
  <c r="P5" i="56" s="1"/>
  <c r="U6" i="56"/>
  <c r="U7" i="56"/>
  <c r="U5" i="56"/>
  <c r="P7" i="56" l="1"/>
  <c r="P6" i="56"/>
  <c r="V8" i="56"/>
  <c r="W8" i="56" s="1"/>
  <c r="V6" i="56"/>
  <c r="W6" i="56" s="1"/>
  <c r="V5" i="56"/>
  <c r="W5" i="56" s="1"/>
  <c r="V7" i="56"/>
  <c r="W7" i="56" s="1"/>
  <c r="N6" i="55"/>
  <c r="O6" i="55"/>
  <c r="P6" i="55" s="1"/>
  <c r="O5" i="55"/>
  <c r="N5" i="55"/>
  <c r="U6" i="55"/>
  <c r="U5" i="55"/>
  <c r="V6" i="55" l="1"/>
  <c r="W6" i="55" s="1"/>
  <c r="P5" i="55"/>
  <c r="V5" i="55" s="1"/>
  <c r="W5" i="55" s="1"/>
  <c r="P7" i="54"/>
  <c r="P6" i="54"/>
  <c r="P5" i="54"/>
  <c r="U7" i="54"/>
  <c r="U6" i="54"/>
  <c r="U5" i="54"/>
  <c r="V5" i="54" l="1"/>
  <c r="W5" i="54" s="1"/>
  <c r="V6" i="54"/>
  <c r="W6" i="54" s="1"/>
  <c r="V7" i="54"/>
  <c r="W7" i="54" s="1"/>
  <c r="O5" i="49"/>
  <c r="N5" i="49"/>
  <c r="U5" i="49"/>
  <c r="P5" i="49" l="1"/>
  <c r="V5" i="49" s="1"/>
  <c r="W5" i="49" s="1"/>
  <c r="U6" i="48"/>
  <c r="O6" i="48"/>
  <c r="N6" i="48"/>
  <c r="P6" i="48" s="1"/>
  <c r="O5" i="48"/>
  <c r="N5" i="48"/>
  <c r="P5" i="48" s="1"/>
  <c r="U5" i="48"/>
  <c r="V5" i="48" s="1"/>
  <c r="W5" i="48" s="1"/>
  <c r="V6" i="48" l="1"/>
  <c r="W6" i="48" s="1"/>
  <c r="O7" i="42"/>
  <c r="N7" i="42"/>
  <c r="U5" i="42"/>
  <c r="O6" i="42"/>
  <c r="N6" i="42"/>
  <c r="O5" i="42"/>
  <c r="N5" i="42"/>
  <c r="U7" i="42"/>
  <c r="U6" i="42"/>
  <c r="P5" i="42" l="1"/>
  <c r="V5" i="42"/>
  <c r="W5" i="42" s="1"/>
  <c r="U11" i="39"/>
  <c r="V11" i="39" s="1"/>
  <c r="W11" i="39" s="1"/>
  <c r="U12" i="39"/>
  <c r="V12" i="39" s="1"/>
  <c r="W12" i="39" s="1"/>
  <c r="U10" i="39"/>
  <c r="V10" i="39" s="1"/>
  <c r="W10" i="39" s="1"/>
  <c r="U9" i="39"/>
  <c r="V9" i="39" s="1"/>
  <c r="W9" i="39" s="1"/>
  <c r="U8" i="39"/>
  <c r="V8" i="39" s="1"/>
  <c r="W8" i="39" s="1"/>
  <c r="U7" i="39"/>
  <c r="V7" i="39" s="1"/>
  <c r="W7" i="39" s="1"/>
  <c r="U6" i="39"/>
  <c r="V6" i="39" s="1"/>
  <c r="W6" i="39" s="1"/>
  <c r="U5" i="39"/>
  <c r="V5" i="39" s="1"/>
  <c r="W5" i="39" s="1"/>
  <c r="O12" i="39" l="1"/>
  <c r="N12" i="39"/>
  <c r="N11" i="39"/>
  <c r="O11" i="39"/>
  <c r="N10" i="39"/>
  <c r="O10" i="39"/>
  <c r="O9" i="39"/>
  <c r="N9" i="39"/>
  <c r="O8" i="39"/>
  <c r="N8" i="39"/>
  <c r="O7" i="39"/>
  <c r="N7" i="39"/>
  <c r="O6" i="39"/>
  <c r="N5" i="39"/>
  <c r="O5" i="39" s="1"/>
  <c r="O13" i="38" l="1"/>
  <c r="N13" i="38"/>
  <c r="O12" i="38"/>
  <c r="N12" i="38"/>
  <c r="O11" i="38"/>
  <c r="N11" i="38"/>
  <c r="P11" i="38" s="1"/>
  <c r="O10" i="38"/>
  <c r="N10" i="38"/>
  <c r="U13" i="38"/>
  <c r="U12" i="38"/>
  <c r="U11" i="38"/>
  <c r="U10" i="38"/>
  <c r="P12" i="38" l="1"/>
  <c r="P13" i="38"/>
  <c r="V13" i="38"/>
  <c r="W13" i="38" s="1"/>
  <c r="P10" i="38"/>
  <c r="V10" i="38" s="1"/>
  <c r="W10" i="38" s="1"/>
  <c r="V12" i="38"/>
  <c r="W12" i="38" s="1"/>
  <c r="V11" i="38"/>
  <c r="W11" i="38" s="1"/>
  <c r="O15" i="36"/>
  <c r="N15" i="36"/>
  <c r="O14" i="36"/>
  <c r="N14" i="36"/>
  <c r="O13" i="36"/>
  <c r="N13" i="36"/>
  <c r="P13" i="36" s="1"/>
  <c r="U11" i="36"/>
  <c r="U12" i="36"/>
  <c r="U13" i="36"/>
  <c r="U14" i="36"/>
  <c r="U15" i="36"/>
  <c r="U16" i="36"/>
  <c r="O12" i="36"/>
  <c r="N12" i="36"/>
  <c r="P12" i="36"/>
  <c r="V12" i="36" s="1"/>
  <c r="W12" i="36" s="1"/>
  <c r="P16" i="36"/>
  <c r="O11" i="36"/>
  <c r="N11" i="36"/>
  <c r="O10" i="36"/>
  <c r="N10" i="36"/>
  <c r="U10" i="36"/>
  <c r="P10" i="36" l="1"/>
  <c r="P11" i="36"/>
  <c r="P14" i="36"/>
  <c r="V11" i="36"/>
  <c r="W11" i="36" s="1"/>
  <c r="V16" i="36"/>
  <c r="W16" i="36" s="1"/>
  <c r="V14" i="36"/>
  <c r="W14" i="36" s="1"/>
  <c r="P15" i="36"/>
  <c r="V15" i="36" s="1"/>
  <c r="W15" i="36" s="1"/>
  <c r="V13" i="36"/>
  <c r="W13" i="36" s="1"/>
  <c r="V10" i="36"/>
  <c r="W10" i="36" s="1"/>
  <c r="O27" i="35"/>
  <c r="N27" i="35"/>
  <c r="O26" i="35"/>
  <c r="N26" i="35"/>
  <c r="O25" i="35"/>
  <c r="N25" i="35"/>
  <c r="O24" i="35"/>
  <c r="N24" i="35"/>
  <c r="O23" i="35"/>
  <c r="N23" i="35"/>
  <c r="O22" i="35"/>
  <c r="N22" i="35"/>
  <c r="O21" i="35"/>
  <c r="N21" i="35"/>
  <c r="O20" i="35"/>
  <c r="N20" i="35"/>
  <c r="O19" i="35"/>
  <c r="N19" i="35"/>
  <c r="O18" i="35"/>
  <c r="N18" i="35"/>
  <c r="O17" i="35"/>
  <c r="N17" i="35"/>
  <c r="O15" i="35"/>
  <c r="O16" i="35"/>
  <c r="N16" i="35"/>
  <c r="N15" i="35"/>
  <c r="O14" i="35"/>
  <c r="N14" i="35"/>
  <c r="O13" i="35"/>
  <c r="N13" i="35"/>
  <c r="O12" i="35"/>
  <c r="N12" i="35"/>
  <c r="O11" i="35"/>
  <c r="N11" i="35"/>
  <c r="O10" i="35"/>
  <c r="N10" i="35"/>
  <c r="U11" i="35" l="1"/>
  <c r="U12" i="35"/>
  <c r="U13" i="35"/>
  <c r="U14" i="35"/>
  <c r="U15" i="35"/>
  <c r="U16" i="35"/>
  <c r="U17" i="35"/>
  <c r="U18" i="35"/>
  <c r="U19" i="35"/>
  <c r="U20" i="35"/>
  <c r="U21" i="35"/>
  <c r="U22" i="35"/>
  <c r="U23" i="35"/>
  <c r="U24" i="35"/>
  <c r="U25" i="35"/>
  <c r="U26" i="35"/>
  <c r="U27" i="35"/>
  <c r="P11" i="35"/>
  <c r="P12" i="35"/>
  <c r="P13" i="35"/>
  <c r="P14" i="35"/>
  <c r="P15" i="35"/>
  <c r="P16" i="35"/>
  <c r="P17" i="35"/>
  <c r="P18" i="35"/>
  <c r="P19" i="35"/>
  <c r="P20" i="35"/>
  <c r="P21" i="35"/>
  <c r="P22" i="35"/>
  <c r="P23" i="35"/>
  <c r="P24" i="35"/>
  <c r="P25" i="35"/>
  <c r="P26" i="35"/>
  <c r="P27" i="35"/>
  <c r="U10" i="35"/>
  <c r="P10" i="35"/>
  <c r="V27" i="35" l="1"/>
  <c r="W27" i="35" s="1"/>
  <c r="V10" i="35"/>
  <c r="W10" i="35" s="1"/>
  <c r="V25" i="35"/>
  <c r="W25" i="35" s="1"/>
  <c r="V21" i="35"/>
  <c r="W21" i="35" s="1"/>
  <c r="V17" i="35"/>
  <c r="W17" i="35" s="1"/>
  <c r="V24" i="35"/>
  <c r="W24" i="35" s="1"/>
  <c r="V26" i="35"/>
  <c r="W26" i="35" s="1"/>
  <c r="V23" i="35"/>
  <c r="W23" i="35" s="1"/>
  <c r="V22" i="35"/>
  <c r="W22" i="35" s="1"/>
  <c r="V20" i="35"/>
  <c r="W20" i="35" s="1"/>
  <c r="V19" i="35"/>
  <c r="W19" i="35" s="1"/>
  <c r="V18" i="35"/>
  <c r="W18" i="35" s="1"/>
  <c r="V15" i="35"/>
  <c r="W15" i="35" s="1"/>
  <c r="V16" i="35"/>
  <c r="W16" i="35" s="1"/>
  <c r="V14" i="35"/>
  <c r="W14" i="35" s="1"/>
  <c r="V13" i="35"/>
  <c r="W13" i="35" s="1"/>
  <c r="V11" i="35"/>
  <c r="W11" i="35" s="1"/>
  <c r="V12" i="35"/>
  <c r="W12" i="35" s="1"/>
  <c r="O32" i="34"/>
  <c r="N32" i="34"/>
  <c r="O31" i="34"/>
  <c r="N31" i="34"/>
  <c r="O30" i="34"/>
  <c r="N30" i="34"/>
  <c r="O29" i="34"/>
  <c r="N29" i="34"/>
  <c r="O28" i="34"/>
  <c r="N28" i="34"/>
  <c r="O27" i="34" l="1"/>
  <c r="N27" i="34"/>
  <c r="O26" i="34"/>
  <c r="N26" i="34"/>
  <c r="O25" i="34"/>
  <c r="N25" i="34"/>
  <c r="O24" i="34"/>
  <c r="N24" i="34"/>
  <c r="P24" i="34" s="1"/>
  <c r="O23" i="34"/>
  <c r="N23" i="34"/>
  <c r="O22" i="34"/>
  <c r="N22" i="34"/>
  <c r="P22" i="34" s="1"/>
  <c r="O21" i="34"/>
  <c r="N21" i="34"/>
  <c r="P21" i="34" s="1"/>
  <c r="O20" i="34"/>
  <c r="N20" i="34"/>
  <c r="P20" i="34" s="1"/>
  <c r="O19" i="34"/>
  <c r="N19" i="34"/>
  <c r="O18" i="34"/>
  <c r="N18" i="34"/>
  <c r="O17" i="34"/>
  <c r="N17" i="34"/>
  <c r="O16" i="34"/>
  <c r="N16" i="34"/>
  <c r="P16" i="34" s="1"/>
  <c r="O15" i="34"/>
  <c r="N15" i="34"/>
  <c r="O14" i="34"/>
  <c r="N14" i="34"/>
  <c r="O13" i="34"/>
  <c r="N13" i="34"/>
  <c r="O11" i="34"/>
  <c r="N11" i="34"/>
  <c r="P11" i="34" s="1"/>
  <c r="U37" i="34"/>
  <c r="P37" i="34"/>
  <c r="V37" i="34" s="1"/>
  <c r="W37" i="34" s="1"/>
  <c r="U36" i="34"/>
  <c r="P36" i="34"/>
  <c r="V36" i="34" s="1"/>
  <c r="W36" i="34" s="1"/>
  <c r="U35" i="34"/>
  <c r="P35" i="34"/>
  <c r="V35" i="34" s="1"/>
  <c r="W35" i="34" s="1"/>
  <c r="U34" i="34"/>
  <c r="P34" i="34"/>
  <c r="V34" i="34" s="1"/>
  <c r="W34" i="34" s="1"/>
  <c r="U33" i="34"/>
  <c r="P33" i="34"/>
  <c r="V33" i="34" s="1"/>
  <c r="W33" i="34" s="1"/>
  <c r="U32" i="34"/>
  <c r="P32" i="34"/>
  <c r="U31" i="34"/>
  <c r="P31" i="34"/>
  <c r="V31" i="34" s="1"/>
  <c r="W31" i="34" s="1"/>
  <c r="U30" i="34"/>
  <c r="P30" i="34"/>
  <c r="U29" i="34"/>
  <c r="P29" i="34"/>
  <c r="V29" i="34" s="1"/>
  <c r="W29" i="34" s="1"/>
  <c r="U28" i="34"/>
  <c r="P28" i="34"/>
  <c r="U27" i="34"/>
  <c r="P27" i="34"/>
  <c r="V27" i="34" s="1"/>
  <c r="W27" i="34" s="1"/>
  <c r="U26" i="34"/>
  <c r="P26" i="34"/>
  <c r="U25" i="34"/>
  <c r="P25" i="34"/>
  <c r="U24" i="34"/>
  <c r="U23" i="34"/>
  <c r="P23" i="34"/>
  <c r="V23" i="34" s="1"/>
  <c r="W23" i="34" s="1"/>
  <c r="U22" i="34"/>
  <c r="U21" i="34"/>
  <c r="U20" i="34"/>
  <c r="U19" i="34"/>
  <c r="U18" i="34"/>
  <c r="P18" i="34"/>
  <c r="U17" i="34"/>
  <c r="P17" i="34"/>
  <c r="V17" i="34" s="1"/>
  <c r="W17" i="34" s="1"/>
  <c r="U16" i="34"/>
  <c r="U15" i="34"/>
  <c r="P15" i="34"/>
  <c r="V15" i="34" s="1"/>
  <c r="W15" i="34" s="1"/>
  <c r="U14" i="34"/>
  <c r="P14" i="34"/>
  <c r="U13" i="34"/>
  <c r="P13" i="34"/>
  <c r="V13" i="34" s="1"/>
  <c r="W13" i="34" s="1"/>
  <c r="U12" i="34"/>
  <c r="P12" i="34"/>
  <c r="U11" i="34"/>
  <c r="U10" i="34"/>
  <c r="P10" i="34"/>
  <c r="V32" i="34" l="1"/>
  <c r="W32" i="34" s="1"/>
  <c r="V30" i="34"/>
  <c r="W30" i="34" s="1"/>
  <c r="V28" i="34"/>
  <c r="W28" i="34" s="1"/>
  <c r="V26" i="34"/>
  <c r="W26" i="34" s="1"/>
  <c r="V25" i="34"/>
  <c r="W25" i="34" s="1"/>
  <c r="V21" i="34"/>
  <c r="W21" i="34" s="1"/>
  <c r="V24" i="34"/>
  <c r="W24" i="34" s="1"/>
  <c r="P19" i="34"/>
  <c r="V19" i="34" s="1"/>
  <c r="W19" i="34" s="1"/>
  <c r="V11" i="34"/>
  <c r="W11" i="34" s="1"/>
  <c r="V10" i="34"/>
  <c r="W10" i="34" s="1"/>
  <c r="V12" i="34"/>
  <c r="W12" i="34" s="1"/>
  <c r="V14" i="34"/>
  <c r="W14" i="34" s="1"/>
  <c r="V16" i="34"/>
  <c r="W16" i="34" s="1"/>
  <c r="V18" i="34"/>
  <c r="W18" i="34" s="1"/>
  <c r="V20" i="34"/>
  <c r="W20" i="34" s="1"/>
  <c r="V22" i="34"/>
  <c r="W22" i="34" s="1"/>
  <c r="U24" i="32"/>
  <c r="P25" i="32"/>
  <c r="P26" i="32"/>
  <c r="P27" i="32"/>
  <c r="P28" i="32"/>
  <c r="P29" i="32"/>
  <c r="O24" i="32"/>
  <c r="N24" i="32"/>
  <c r="P24" i="32" s="1"/>
  <c r="O23" i="32"/>
  <c r="N23" i="32"/>
  <c r="O22" i="32"/>
  <c r="N22" i="32"/>
  <c r="P22" i="32" s="1"/>
  <c r="O21" i="32"/>
  <c r="N21" i="32"/>
  <c r="P21" i="32" s="1"/>
  <c r="O20" i="32"/>
  <c r="N20" i="32"/>
  <c r="O19" i="32"/>
  <c r="N19" i="32"/>
  <c r="O18" i="32"/>
  <c r="N18" i="32"/>
  <c r="O17" i="32"/>
  <c r="N17" i="32"/>
  <c r="O16" i="32"/>
  <c r="N16" i="32"/>
  <c r="O15" i="32"/>
  <c r="N15" i="32"/>
  <c r="O14" i="32"/>
  <c r="N14" i="32"/>
  <c r="O13" i="32"/>
  <c r="N13" i="32"/>
  <c r="P13" i="32" s="1"/>
  <c r="O12" i="32"/>
  <c r="N12" i="32"/>
  <c r="O11" i="32"/>
  <c r="N11" i="32"/>
  <c r="U11" i="32"/>
  <c r="U12" i="32"/>
  <c r="U13" i="32"/>
  <c r="U14" i="32"/>
  <c r="U15" i="32"/>
  <c r="U16" i="32"/>
  <c r="U17" i="32"/>
  <c r="U18" i="32"/>
  <c r="U19" i="32"/>
  <c r="U20" i="32"/>
  <c r="U21" i="32"/>
  <c r="U22" i="32"/>
  <c r="U23" i="32"/>
  <c r="U25" i="32"/>
  <c r="U26" i="32"/>
  <c r="U27" i="32"/>
  <c r="V27" i="32" s="1"/>
  <c r="W27" i="32" s="1"/>
  <c r="U28" i="32"/>
  <c r="V28" i="32" s="1"/>
  <c r="W28" i="32" s="1"/>
  <c r="U29" i="32"/>
  <c r="U30" i="32"/>
  <c r="U31" i="32"/>
  <c r="U32" i="32"/>
  <c r="U33" i="32"/>
  <c r="U34" i="32"/>
  <c r="U35" i="32"/>
  <c r="U36" i="32"/>
  <c r="U37" i="32"/>
  <c r="P11" i="32"/>
  <c r="P17" i="32"/>
  <c r="P20" i="32"/>
  <c r="P30" i="32"/>
  <c r="V30" i="32" s="1"/>
  <c r="W30" i="32" s="1"/>
  <c r="P31" i="32"/>
  <c r="P32" i="32"/>
  <c r="P33" i="32"/>
  <c r="P34" i="32"/>
  <c r="P35" i="32"/>
  <c r="V35" i="32" s="1"/>
  <c r="W35" i="32" s="1"/>
  <c r="P36" i="32"/>
  <c r="P37" i="32"/>
  <c r="O10" i="32"/>
  <c r="N10" i="32"/>
  <c r="P10" i="32" s="1"/>
  <c r="U10" i="32"/>
  <c r="V37" i="32" l="1"/>
  <c r="W37" i="32" s="1"/>
  <c r="V32" i="32"/>
  <c r="W32" i="32" s="1"/>
  <c r="P14" i="32"/>
  <c r="P15" i="32"/>
  <c r="V26" i="32"/>
  <c r="W26" i="32" s="1"/>
  <c r="V24" i="32"/>
  <c r="W24" i="32" s="1"/>
  <c r="V36" i="32"/>
  <c r="W36" i="32" s="1"/>
  <c r="V31" i="32"/>
  <c r="W31" i="32" s="1"/>
  <c r="V34" i="32"/>
  <c r="W34" i="32" s="1"/>
  <c r="P23" i="32"/>
  <c r="V14" i="32"/>
  <c r="W14" i="32" s="1"/>
  <c r="V23" i="32"/>
  <c r="W23" i="32" s="1"/>
  <c r="V22" i="32"/>
  <c r="W22" i="32" s="1"/>
  <c r="V21" i="32"/>
  <c r="W21" i="32" s="1"/>
  <c r="V20" i="32"/>
  <c r="W20" i="32" s="1"/>
  <c r="P18" i="32"/>
  <c r="V18" i="32" s="1"/>
  <c r="W18" i="32" s="1"/>
  <c r="V33" i="32"/>
  <c r="W33" i="32" s="1"/>
  <c r="P16" i="32"/>
  <c r="V16" i="32" s="1"/>
  <c r="W16" i="32" s="1"/>
  <c r="V29" i="32"/>
  <c r="W29" i="32" s="1"/>
  <c r="V11" i="32"/>
  <c r="W11" i="32" s="1"/>
  <c r="V25" i="32"/>
  <c r="W25" i="32" s="1"/>
  <c r="P12" i="32"/>
  <c r="V12" i="32" s="1"/>
  <c r="W12" i="32" s="1"/>
  <c r="P19" i="32"/>
  <c r="V19" i="32" s="1"/>
  <c r="W19" i="32" s="1"/>
  <c r="V17" i="32"/>
  <c r="W17" i="32" s="1"/>
  <c r="V15" i="32"/>
  <c r="W15" i="32" s="1"/>
  <c r="V13" i="32"/>
  <c r="W13" i="32" s="1"/>
  <c r="V10" i="32"/>
  <c r="W10" i="32" s="1"/>
  <c r="O37" i="31"/>
  <c r="N37" i="31"/>
  <c r="O36" i="31"/>
  <c r="N36" i="31"/>
  <c r="O35" i="31"/>
  <c r="N35" i="31"/>
  <c r="O34" i="31"/>
  <c r="N34" i="31"/>
  <c r="O33" i="31"/>
  <c r="N33" i="31"/>
  <c r="O32" i="31"/>
  <c r="N32" i="31"/>
  <c r="O31" i="31"/>
  <c r="N31" i="31"/>
  <c r="P31" i="31" s="1"/>
  <c r="O30" i="31"/>
  <c r="N30" i="31"/>
  <c r="O29" i="31"/>
  <c r="N29" i="31"/>
  <c r="P29" i="31" s="1"/>
  <c r="O27" i="31"/>
  <c r="O28" i="31"/>
  <c r="N28" i="31"/>
  <c r="N27" i="31"/>
  <c r="O26" i="31"/>
  <c r="N26" i="31"/>
  <c r="O25" i="31"/>
  <c r="N25" i="31"/>
  <c r="P25" i="31" s="1"/>
  <c r="O24" i="31"/>
  <c r="N24" i="31"/>
  <c r="O23" i="31"/>
  <c r="N23" i="31"/>
  <c r="O22" i="31"/>
  <c r="N22" i="31"/>
  <c r="O21" i="31"/>
  <c r="N21" i="31"/>
  <c r="P21" i="31" s="1"/>
  <c r="U21" i="31"/>
  <c r="U22" i="31"/>
  <c r="U23" i="31"/>
  <c r="U24" i="31"/>
  <c r="U25" i="31"/>
  <c r="U26" i="31"/>
  <c r="U27" i="31"/>
  <c r="U28" i="31"/>
  <c r="U29" i="31"/>
  <c r="U30" i="31"/>
  <c r="U31" i="31"/>
  <c r="U32" i="31"/>
  <c r="U33" i="31"/>
  <c r="U34" i="31"/>
  <c r="U35" i="31"/>
  <c r="U36" i="31"/>
  <c r="U37" i="31"/>
  <c r="U20" i="31"/>
  <c r="O20" i="31"/>
  <c r="N20" i="31"/>
  <c r="N19" i="31"/>
  <c r="O19" i="31"/>
  <c r="U19" i="31"/>
  <c r="O18" i="31"/>
  <c r="N18" i="31"/>
  <c r="O17" i="31"/>
  <c r="N17" i="31"/>
  <c r="P17" i="31" s="1"/>
  <c r="O16" i="31"/>
  <c r="N16" i="31"/>
  <c r="O15" i="31"/>
  <c r="N15" i="31"/>
  <c r="O14" i="31"/>
  <c r="N14" i="31"/>
  <c r="O13" i="31"/>
  <c r="N13" i="31"/>
  <c r="P13" i="31" s="1"/>
  <c r="O12" i="31"/>
  <c r="N12" i="31"/>
  <c r="U11" i="31"/>
  <c r="U12" i="31"/>
  <c r="U13" i="31"/>
  <c r="U14" i="31"/>
  <c r="U15" i="31"/>
  <c r="U16" i="31"/>
  <c r="U17" i="31"/>
  <c r="U18" i="31"/>
  <c r="O11" i="31"/>
  <c r="N11" i="31"/>
  <c r="O10" i="31"/>
  <c r="N10" i="31"/>
  <c r="P27" i="31" l="1"/>
  <c r="P32" i="31"/>
  <c r="P34" i="31"/>
  <c r="V32" i="31"/>
  <c r="W32" i="31" s="1"/>
  <c r="V25" i="31"/>
  <c r="W25" i="31" s="1"/>
  <c r="P18" i="31"/>
  <c r="P20" i="31"/>
  <c r="V29" i="31"/>
  <c r="W29" i="31" s="1"/>
  <c r="P22" i="31"/>
  <c r="V22" i="31" s="1"/>
  <c r="W22" i="31" s="1"/>
  <c r="P24" i="31"/>
  <c r="V24" i="31" s="1"/>
  <c r="W24" i="31" s="1"/>
  <c r="P26" i="31"/>
  <c r="P36" i="31"/>
  <c r="V36" i="31" s="1"/>
  <c r="W36" i="31" s="1"/>
  <c r="P33" i="31"/>
  <c r="V33" i="31" s="1"/>
  <c r="W33" i="31" s="1"/>
  <c r="P35" i="31"/>
  <c r="V35" i="31" s="1"/>
  <c r="W35" i="31" s="1"/>
  <c r="P37" i="31"/>
  <c r="V37" i="31" s="1"/>
  <c r="W37" i="31" s="1"/>
  <c r="V34" i="31"/>
  <c r="W34" i="31" s="1"/>
  <c r="P30" i="31"/>
  <c r="V30" i="31" s="1"/>
  <c r="W30" i="31" s="1"/>
  <c r="V20" i="31"/>
  <c r="W20" i="31" s="1"/>
  <c r="P11" i="31"/>
  <c r="V11" i="31" s="1"/>
  <c r="W11" i="31" s="1"/>
  <c r="P12" i="31"/>
  <c r="V12" i="31" s="1"/>
  <c r="W12" i="31" s="1"/>
  <c r="P14" i="31"/>
  <c r="V14" i="31" s="1"/>
  <c r="W14" i="31" s="1"/>
  <c r="P16" i="31"/>
  <c r="V16" i="31" s="1"/>
  <c r="W16" i="31" s="1"/>
  <c r="P23" i="31"/>
  <c r="V23" i="31" s="1"/>
  <c r="W23" i="31" s="1"/>
  <c r="P28" i="31"/>
  <c r="V28" i="31" s="1"/>
  <c r="W28" i="31" s="1"/>
  <c r="V31" i="31"/>
  <c r="W31" i="31" s="1"/>
  <c r="V27" i="31"/>
  <c r="W27" i="31" s="1"/>
  <c r="V26" i="31"/>
  <c r="W26" i="31" s="1"/>
  <c r="V21" i="31"/>
  <c r="W21" i="31" s="1"/>
  <c r="P15" i="31"/>
  <c r="P19" i="31"/>
  <c r="V19" i="31" s="1"/>
  <c r="W19" i="31" s="1"/>
  <c r="V18" i="31"/>
  <c r="W18" i="31" s="1"/>
  <c r="V15" i="31"/>
  <c r="W15" i="31" s="1"/>
  <c r="V13" i="31"/>
  <c r="W13" i="31" s="1"/>
  <c r="V17" i="31"/>
  <c r="W17" i="31" s="1"/>
  <c r="U10" i="31"/>
  <c r="P10" i="31" l="1"/>
  <c r="V10" i="31" s="1"/>
  <c r="W10" i="31" s="1"/>
  <c r="U21" i="28"/>
  <c r="V21" i="28" s="1"/>
  <c r="W21" i="28" s="1"/>
  <c r="U25" i="28"/>
  <c r="U26" i="28"/>
  <c r="U27" i="28"/>
  <c r="U28" i="28"/>
  <c r="U29" i="28"/>
  <c r="U24" i="28"/>
  <c r="U11" i="28"/>
  <c r="U12" i="28"/>
  <c r="U13" i="28"/>
  <c r="U14" i="28"/>
  <c r="U15" i="28"/>
  <c r="U16" i="28"/>
  <c r="U17" i="28"/>
  <c r="U18" i="28"/>
  <c r="U19" i="28"/>
  <c r="U20" i="28"/>
  <c r="N25" i="28"/>
  <c r="O25" i="28"/>
  <c r="N26" i="28"/>
  <c r="O26" i="28"/>
  <c r="N27" i="28"/>
  <c r="O27" i="28"/>
  <c r="N28" i="28"/>
  <c r="O28" i="28"/>
  <c r="N29" i="28"/>
  <c r="O29" i="28"/>
  <c r="O24" i="28"/>
  <c r="N24" i="28"/>
  <c r="P24" i="28" s="1"/>
  <c r="O21" i="28"/>
  <c r="N21" i="28"/>
  <c r="O20" i="28"/>
  <c r="N20" i="28"/>
  <c r="O19" i="28"/>
  <c r="N19" i="28"/>
  <c r="O18" i="28"/>
  <c r="N18" i="28"/>
  <c r="P18" i="28" s="1"/>
  <c r="O17" i="28"/>
  <c r="N17" i="28"/>
  <c r="P17" i="28" s="1"/>
  <c r="O16" i="28"/>
  <c r="N16" i="28"/>
  <c r="O15" i="28"/>
  <c r="N15" i="28"/>
  <c r="P15" i="28" s="1"/>
  <c r="O14" i="28"/>
  <c r="N14" i="28"/>
  <c r="P14" i="28" s="1"/>
  <c r="O13" i="28"/>
  <c r="N13" i="28"/>
  <c r="P13" i="28" s="1"/>
  <c r="O12" i="28"/>
  <c r="N12" i="28"/>
  <c r="O11" i="28"/>
  <c r="N11" i="28"/>
  <c r="P11" i="28" s="1"/>
  <c r="O10" i="28"/>
  <c r="N10" i="28"/>
  <c r="U10" i="28"/>
  <c r="P10" i="28" l="1"/>
  <c r="P29" i="28"/>
  <c r="P28" i="28"/>
  <c r="P26" i="28"/>
  <c r="P25" i="28"/>
  <c r="V15" i="28"/>
  <c r="W15" i="28" s="1"/>
  <c r="V11" i="28"/>
  <c r="W11" i="28" s="1"/>
  <c r="V24" i="28"/>
  <c r="W24" i="28" s="1"/>
  <c r="V29" i="28"/>
  <c r="W29" i="28" s="1"/>
  <c r="V13" i="28"/>
  <c r="W13" i="28" s="1"/>
  <c r="V28" i="28"/>
  <c r="W28" i="28" s="1"/>
  <c r="V14" i="28"/>
  <c r="W14" i="28" s="1"/>
  <c r="V26" i="28"/>
  <c r="W26" i="28" s="1"/>
  <c r="P19" i="28"/>
  <c r="V19" i="28" s="1"/>
  <c r="W19" i="28" s="1"/>
  <c r="V18" i="28"/>
  <c r="W18" i="28" s="1"/>
  <c r="V25" i="28"/>
  <c r="W25" i="28" s="1"/>
  <c r="P27" i="28"/>
  <c r="V27" i="28" s="1"/>
  <c r="W27" i="28" s="1"/>
  <c r="V17" i="28"/>
  <c r="W17" i="28" s="1"/>
  <c r="P12" i="28"/>
  <c r="V12" i="28" s="1"/>
  <c r="W12" i="28" s="1"/>
  <c r="P16" i="28"/>
  <c r="P20" i="28"/>
  <c r="V20" i="28" s="1"/>
  <c r="W20" i="28" s="1"/>
  <c r="V16" i="28"/>
  <c r="W16" i="28" s="1"/>
  <c r="V10" i="28"/>
  <c r="W10" i="28" s="1"/>
  <c r="O22" i="27"/>
  <c r="N22" i="27"/>
  <c r="O21" i="27"/>
  <c r="N21" i="27"/>
  <c r="U19" i="27"/>
  <c r="U20" i="27"/>
  <c r="U21" i="27"/>
  <c r="U22" i="27"/>
  <c r="U11" i="27"/>
  <c r="U12" i="27"/>
  <c r="U13" i="27"/>
  <c r="U14" i="27"/>
  <c r="U15" i="27"/>
  <c r="U16" i="27"/>
  <c r="U17" i="27"/>
  <c r="U18" i="27"/>
  <c r="O20" i="27"/>
  <c r="N20" i="27"/>
  <c r="P20" i="27" s="1"/>
  <c r="O19" i="27"/>
  <c r="N19" i="27"/>
  <c r="P19" i="27" s="1"/>
  <c r="O18" i="27"/>
  <c r="N18" i="27"/>
  <c r="P18" i="27" s="1"/>
  <c r="O17" i="27"/>
  <c r="N17" i="27"/>
  <c r="P17" i="27" s="1"/>
  <c r="V17" i="27" s="1"/>
  <c r="W17" i="27" s="1"/>
  <c r="O16" i="27"/>
  <c r="N16" i="27"/>
  <c r="O15" i="27"/>
  <c r="N15" i="27"/>
  <c r="P15" i="27" s="1"/>
  <c r="O14" i="27"/>
  <c r="N14" i="27"/>
  <c r="P14" i="27" s="1"/>
  <c r="O13" i="27"/>
  <c r="N13" i="27"/>
  <c r="P13" i="27" s="1"/>
  <c r="V13" i="27" s="1"/>
  <c r="W13" i="27" s="1"/>
  <c r="O12" i="27"/>
  <c r="N12" i="27"/>
  <c r="O11" i="27"/>
  <c r="N11" i="27"/>
  <c r="P11" i="27" s="1"/>
  <c r="O10" i="27"/>
  <c r="N10" i="27"/>
  <c r="P10" i="27" s="1"/>
  <c r="P21" i="27" l="1"/>
  <c r="V19" i="27"/>
  <c r="W19" i="27" s="1"/>
  <c r="V15" i="27"/>
  <c r="W15" i="27" s="1"/>
  <c r="V11" i="27"/>
  <c r="W11" i="27" s="1"/>
  <c r="V14" i="27"/>
  <c r="W14" i="27" s="1"/>
  <c r="P12" i="27"/>
  <c r="V12" i="27" s="1"/>
  <c r="W12" i="27" s="1"/>
  <c r="P16" i="27"/>
  <c r="V16" i="27" s="1"/>
  <c r="W16" i="27" s="1"/>
  <c r="V18" i="27"/>
  <c r="W18" i="27" s="1"/>
  <c r="V20" i="27"/>
  <c r="W20" i="27" s="1"/>
  <c r="P22" i="27"/>
  <c r="V22" i="27" s="1"/>
  <c r="W22" i="27" s="1"/>
  <c r="V21" i="27"/>
  <c r="W21" i="27" s="1"/>
  <c r="U10" i="27"/>
  <c r="V10" i="27" s="1"/>
  <c r="W10" i="27" s="1"/>
  <c r="O16" i="26" l="1"/>
  <c r="N16" i="26"/>
  <c r="O15" i="26"/>
  <c r="N15" i="26"/>
  <c r="O14" i="26"/>
  <c r="N14" i="26"/>
  <c r="O13" i="26"/>
  <c r="N13" i="26"/>
  <c r="O12" i="26"/>
  <c r="N12" i="26"/>
  <c r="O10" i="26"/>
  <c r="N10" i="26"/>
  <c r="U11" i="26" l="1"/>
  <c r="U12" i="26"/>
  <c r="U13" i="26"/>
  <c r="U14" i="26"/>
  <c r="U15" i="26"/>
  <c r="U16" i="26"/>
  <c r="P11" i="26"/>
  <c r="P12" i="26"/>
  <c r="P13" i="26"/>
  <c r="P14" i="26"/>
  <c r="P15" i="26"/>
  <c r="P16" i="26"/>
  <c r="U10" i="26"/>
  <c r="P10" i="26"/>
  <c r="V11" i="26" l="1"/>
  <c r="W11" i="26" s="1"/>
  <c r="V15" i="26"/>
  <c r="W15" i="26" s="1"/>
  <c r="V16" i="26"/>
  <c r="W16" i="26" s="1"/>
  <c r="V12" i="26"/>
  <c r="W12" i="26" s="1"/>
  <c r="V14" i="26"/>
  <c r="W14" i="26" s="1"/>
  <c r="V13" i="26"/>
  <c r="W13" i="26" s="1"/>
  <c r="V10" i="26"/>
  <c r="W10" i="26" s="1"/>
  <c r="O19" i="25"/>
  <c r="N19" i="25"/>
  <c r="N18" i="25"/>
  <c r="O18" i="25"/>
  <c r="O17" i="25"/>
  <c r="N17" i="25"/>
  <c r="O16" i="25"/>
  <c r="N16" i="25"/>
  <c r="O15" i="25"/>
  <c r="N15" i="25"/>
  <c r="O14" i="25"/>
  <c r="N14" i="25"/>
  <c r="O13" i="25"/>
  <c r="N13" i="25"/>
  <c r="O12" i="25"/>
  <c r="N12" i="25"/>
  <c r="O11" i="25"/>
  <c r="N11" i="25"/>
  <c r="O10" i="25"/>
  <c r="N10" i="25"/>
  <c r="U11" i="25"/>
  <c r="U12" i="25"/>
  <c r="U13" i="25"/>
  <c r="U14" i="25"/>
  <c r="U15" i="25"/>
  <c r="U16" i="25"/>
  <c r="U17" i="25"/>
  <c r="U18" i="25"/>
  <c r="U19" i="25"/>
  <c r="P14" i="25"/>
  <c r="U10" i="25"/>
  <c r="P12" i="25" l="1"/>
  <c r="P18" i="25"/>
  <c r="P17" i="25"/>
  <c r="V17" i="25" s="1"/>
  <c r="W17" i="25" s="1"/>
  <c r="P19" i="25"/>
  <c r="V19" i="25" s="1"/>
  <c r="W19" i="25" s="1"/>
  <c r="P13" i="25"/>
  <c r="P15" i="25"/>
  <c r="P10" i="25"/>
  <c r="P16" i="25"/>
  <c r="V16" i="25" s="1"/>
  <c r="W16" i="25" s="1"/>
  <c r="V18" i="25"/>
  <c r="W18" i="25" s="1"/>
  <c r="V15" i="25"/>
  <c r="W15" i="25" s="1"/>
  <c r="V14" i="25"/>
  <c r="W14" i="25" s="1"/>
  <c r="P11" i="25"/>
  <c r="V11" i="25" s="1"/>
  <c r="W11" i="25" s="1"/>
  <c r="V13" i="25"/>
  <c r="W13" i="25" s="1"/>
  <c r="V10" i="25"/>
  <c r="W10" i="25" s="1"/>
  <c r="V12" i="25"/>
  <c r="W12" i="25" s="1"/>
  <c r="O17" i="24"/>
  <c r="N17" i="24"/>
  <c r="O16" i="24"/>
  <c r="N16" i="24"/>
  <c r="O15" i="24"/>
  <c r="N15" i="24"/>
  <c r="O14" i="24"/>
  <c r="N14" i="24"/>
  <c r="O13" i="24"/>
  <c r="N13" i="24"/>
  <c r="O12" i="24"/>
  <c r="N12" i="24"/>
  <c r="O11" i="24"/>
  <c r="N11" i="24"/>
  <c r="O10" i="24"/>
  <c r="N10" i="24"/>
  <c r="U11" i="24" l="1"/>
  <c r="U12" i="24"/>
  <c r="U13" i="24"/>
  <c r="U14" i="24"/>
  <c r="U15" i="24"/>
  <c r="U16" i="24"/>
  <c r="U17" i="24"/>
  <c r="P11" i="24"/>
  <c r="P12" i="24"/>
  <c r="P13" i="24"/>
  <c r="P14" i="24"/>
  <c r="P15" i="24"/>
  <c r="P16" i="24"/>
  <c r="P17" i="24"/>
  <c r="U10" i="24"/>
  <c r="P10" i="24"/>
  <c r="V10" i="24" s="1"/>
  <c r="W10" i="24" s="1"/>
  <c r="V11" i="24" l="1"/>
  <c r="W11" i="24" s="1"/>
  <c r="V16" i="24"/>
  <c r="W16" i="24" s="1"/>
  <c r="V12" i="24"/>
  <c r="W12" i="24" s="1"/>
  <c r="V15" i="24"/>
  <c r="W15" i="24" s="1"/>
  <c r="V17" i="24"/>
  <c r="W17" i="24" s="1"/>
  <c r="V14" i="24"/>
  <c r="W14" i="24" s="1"/>
  <c r="V13" i="24"/>
  <c r="W13" i="24" s="1"/>
  <c r="O19" i="23"/>
  <c r="N19" i="23"/>
  <c r="N15" i="23"/>
  <c r="O15" i="23"/>
  <c r="N16" i="23"/>
  <c r="O16" i="23"/>
  <c r="N17" i="23"/>
  <c r="O17" i="23"/>
  <c r="N18" i="23"/>
  <c r="O18" i="23"/>
  <c r="O14" i="23"/>
  <c r="N14" i="23"/>
  <c r="O13" i="23"/>
  <c r="N13" i="23"/>
  <c r="O12" i="23"/>
  <c r="N12" i="23"/>
  <c r="U10" i="23"/>
  <c r="P19" i="23"/>
  <c r="O11" i="23"/>
  <c r="N11" i="23"/>
  <c r="O10" i="23"/>
  <c r="N10" i="23"/>
  <c r="U11" i="23"/>
  <c r="U12" i="23"/>
  <c r="U13" i="23"/>
  <c r="U14" i="23"/>
  <c r="U15" i="23"/>
  <c r="U16" i="23"/>
  <c r="U17" i="23"/>
  <c r="U18" i="23"/>
  <c r="U19" i="23"/>
  <c r="P14" i="23" l="1"/>
  <c r="P15" i="23"/>
  <c r="P17" i="23"/>
  <c r="P13" i="23"/>
  <c r="P11" i="23"/>
  <c r="V11" i="23" s="1"/>
  <c r="W11" i="23" s="1"/>
  <c r="P18" i="23"/>
  <c r="V18" i="23" s="1"/>
  <c r="W18" i="23" s="1"/>
  <c r="P16" i="23"/>
  <c r="V16" i="23" s="1"/>
  <c r="W16" i="23" s="1"/>
  <c r="V15" i="23"/>
  <c r="W15" i="23" s="1"/>
  <c r="V17" i="23"/>
  <c r="W17" i="23" s="1"/>
  <c r="V19" i="23"/>
  <c r="W19" i="23" s="1"/>
  <c r="P12" i="23"/>
  <c r="V12" i="23" s="1"/>
  <c r="W12" i="23" s="1"/>
  <c r="P10" i="23"/>
  <c r="V10" i="23"/>
  <c r="W10" i="23" s="1"/>
  <c r="V13" i="23"/>
  <c r="W13" i="23" s="1"/>
  <c r="V14" i="23"/>
  <c r="W14" i="23" s="1"/>
  <c r="O15" i="22"/>
  <c r="P15" i="22" s="1"/>
  <c r="N15" i="22"/>
  <c r="N14" i="22"/>
  <c r="O14" i="22"/>
  <c r="P14" i="22" s="1"/>
  <c r="O13" i="22"/>
  <c r="N13" i="22"/>
  <c r="O12" i="22"/>
  <c r="N12" i="22"/>
  <c r="O11" i="22"/>
  <c r="P11" i="22" s="1"/>
  <c r="N11" i="22"/>
  <c r="O10" i="22"/>
  <c r="P10" i="22" s="1"/>
  <c r="N10" i="22"/>
  <c r="U11" i="22"/>
  <c r="U12" i="22"/>
  <c r="U13" i="22"/>
  <c r="U14" i="22"/>
  <c r="U15" i="22"/>
  <c r="P12" i="22"/>
  <c r="P13" i="22"/>
  <c r="U10" i="22"/>
  <c r="V11" i="22" l="1"/>
  <c r="W11" i="22" s="1"/>
  <c r="V15" i="22"/>
  <c r="W15" i="22" s="1"/>
  <c r="V13" i="22"/>
  <c r="W13" i="22" s="1"/>
  <c r="V12" i="22"/>
  <c r="W12" i="22" s="1"/>
  <c r="V14" i="22"/>
  <c r="W14" i="22" s="1"/>
  <c r="V10" i="22"/>
  <c r="W10" i="22" s="1"/>
  <c r="O26" i="21"/>
  <c r="N26" i="21"/>
  <c r="O25" i="21"/>
  <c r="N25" i="21"/>
  <c r="O24" i="21"/>
  <c r="N24" i="21"/>
  <c r="O23" i="21"/>
  <c r="N23" i="21"/>
  <c r="O21" i="21"/>
  <c r="N21" i="21"/>
  <c r="O19" i="21"/>
  <c r="N19" i="21"/>
  <c r="O18" i="21"/>
  <c r="N18" i="21"/>
  <c r="O17" i="21"/>
  <c r="N17" i="21"/>
  <c r="O16" i="21" l="1"/>
  <c r="P16" i="21" s="1"/>
  <c r="N16" i="21"/>
  <c r="O15" i="21"/>
  <c r="P15" i="21" s="1"/>
  <c r="N15" i="21"/>
  <c r="O14" i="21"/>
  <c r="P14" i="21" s="1"/>
  <c r="N14" i="21"/>
  <c r="O12" i="21"/>
  <c r="P12" i="21" s="1"/>
  <c r="N12" i="21"/>
  <c r="P13" i="21"/>
  <c r="P17" i="21"/>
  <c r="P18" i="21"/>
  <c r="P19" i="21"/>
  <c r="P20" i="21"/>
  <c r="P21" i="21"/>
  <c r="P22" i="21"/>
  <c r="P23" i="21"/>
  <c r="P24" i="21"/>
  <c r="P25" i="21"/>
  <c r="P26" i="21"/>
  <c r="O11" i="21"/>
  <c r="P11" i="21" s="1"/>
  <c r="N11" i="21"/>
  <c r="U11" i="21"/>
  <c r="U12" i="21"/>
  <c r="U13" i="21"/>
  <c r="U14" i="21"/>
  <c r="U15" i="21"/>
  <c r="U16" i="21"/>
  <c r="U17" i="21"/>
  <c r="U18" i="21"/>
  <c r="U19" i="21"/>
  <c r="U20" i="21"/>
  <c r="U21" i="21"/>
  <c r="U23" i="21"/>
  <c r="U24" i="21"/>
  <c r="U25" i="21"/>
  <c r="U26" i="21"/>
  <c r="U10" i="21"/>
  <c r="P10" i="21"/>
  <c r="V13" i="21" l="1"/>
  <c r="W13" i="21" s="1"/>
  <c r="V26" i="21"/>
  <c r="W26" i="21" s="1"/>
  <c r="V20" i="21"/>
  <c r="W20" i="21" s="1"/>
  <c r="V19" i="21"/>
  <c r="W19" i="21" s="1"/>
  <c r="V16" i="21"/>
  <c r="W16" i="21" s="1"/>
  <c r="V12" i="21"/>
  <c r="W12" i="21" s="1"/>
  <c r="V24" i="21"/>
  <c r="W24" i="21" s="1"/>
  <c r="V23" i="21"/>
  <c r="W23" i="21" s="1"/>
  <c r="V25" i="21"/>
  <c r="W25" i="21" s="1"/>
  <c r="V21" i="21"/>
  <c r="W21" i="21" s="1"/>
  <c r="V18" i="21"/>
  <c r="W18" i="21" s="1"/>
  <c r="V17" i="21"/>
  <c r="W17" i="21" s="1"/>
  <c r="V15" i="21"/>
  <c r="W15" i="21" s="1"/>
  <c r="V14" i="21"/>
  <c r="W14" i="21" s="1"/>
  <c r="V11" i="21"/>
  <c r="W11" i="21" s="1"/>
  <c r="V10" i="21"/>
  <c r="W10" i="21" s="1"/>
  <c r="O21" i="20"/>
  <c r="P21" i="20" s="1"/>
  <c r="N21" i="20"/>
  <c r="O20" i="20"/>
  <c r="N20" i="20"/>
  <c r="O19" i="20"/>
  <c r="N19" i="20"/>
  <c r="O18" i="20"/>
  <c r="P18" i="20" s="1"/>
  <c r="N18" i="20"/>
  <c r="O17" i="20"/>
  <c r="P17" i="20" s="1"/>
  <c r="N17" i="20"/>
  <c r="O16" i="20"/>
  <c r="P16" i="20" s="1"/>
  <c r="N16" i="20"/>
  <c r="O15" i="20"/>
  <c r="P15" i="20" s="1"/>
  <c r="N15" i="20"/>
  <c r="O14" i="20"/>
  <c r="P14" i="20" s="1"/>
  <c r="N14" i="20"/>
  <c r="O13" i="20"/>
  <c r="P13" i="20" s="1"/>
  <c r="N13" i="20"/>
  <c r="O11" i="20"/>
  <c r="N11" i="20"/>
  <c r="O10" i="20"/>
  <c r="P10" i="20" s="1"/>
  <c r="N10" i="20"/>
  <c r="U11" i="20"/>
  <c r="U12" i="20"/>
  <c r="U13" i="20"/>
  <c r="U14" i="20"/>
  <c r="U15" i="20"/>
  <c r="U16" i="20"/>
  <c r="U17" i="20"/>
  <c r="U18" i="20"/>
  <c r="U19" i="20"/>
  <c r="U20" i="20"/>
  <c r="U21" i="20"/>
  <c r="P11" i="20"/>
  <c r="P12" i="20"/>
  <c r="P19" i="20"/>
  <c r="P20" i="20"/>
  <c r="U10" i="20"/>
  <c r="V12" i="20" l="1"/>
  <c r="W12" i="20" s="1"/>
  <c r="V11" i="20"/>
  <c r="W11" i="20" s="1"/>
  <c r="V14" i="20"/>
  <c r="W14" i="20" s="1"/>
  <c r="V21" i="20"/>
  <c r="W21" i="20" s="1"/>
  <c r="V20" i="20"/>
  <c r="W20" i="20" s="1"/>
  <c r="V19" i="20"/>
  <c r="W19" i="20" s="1"/>
  <c r="V18" i="20"/>
  <c r="W18" i="20" s="1"/>
  <c r="V16" i="20"/>
  <c r="W16" i="20" s="1"/>
  <c r="V17" i="20"/>
  <c r="W17" i="20" s="1"/>
  <c r="V15" i="20"/>
  <c r="W15" i="20" s="1"/>
  <c r="V13" i="20"/>
  <c r="W13" i="20" s="1"/>
  <c r="V10" i="20"/>
  <c r="W10" i="20" s="1"/>
  <c r="O19" i="19"/>
  <c r="N19" i="19"/>
  <c r="O18" i="19"/>
  <c r="N18" i="19"/>
  <c r="O17" i="19"/>
  <c r="N16" i="19"/>
  <c r="P16" i="19" s="1"/>
  <c r="O15" i="19"/>
  <c r="N15" i="19"/>
  <c r="O14" i="19" l="1"/>
  <c r="N14" i="19"/>
  <c r="O13" i="19"/>
  <c r="N13" i="19"/>
  <c r="O10" i="19"/>
  <c r="P10" i="19" s="1"/>
  <c r="N10" i="19"/>
  <c r="P11" i="19"/>
  <c r="U11" i="19"/>
  <c r="P12" i="19"/>
  <c r="U12" i="19"/>
  <c r="V12" i="19" s="1"/>
  <c r="W12" i="19" s="1"/>
  <c r="P13" i="19"/>
  <c r="U13" i="19"/>
  <c r="V13" i="19" s="1"/>
  <c r="W13" i="19" s="1"/>
  <c r="P14" i="19"/>
  <c r="U14" i="19"/>
  <c r="P15" i="19"/>
  <c r="U15" i="19"/>
  <c r="U16" i="19"/>
  <c r="P18" i="19"/>
  <c r="U18" i="19"/>
  <c r="P19" i="19"/>
  <c r="U19" i="19"/>
  <c r="U10" i="19"/>
  <c r="V14" i="19" l="1"/>
  <c r="W14" i="19" s="1"/>
  <c r="V15" i="19"/>
  <c r="W15" i="19" s="1"/>
  <c r="V18" i="19"/>
  <c r="W18" i="19" s="1"/>
  <c r="V19" i="19"/>
  <c r="W19" i="19" s="1"/>
  <c r="V11" i="19"/>
  <c r="W11" i="19" s="1"/>
  <c r="V16" i="19"/>
  <c r="W16" i="19" s="1"/>
  <c r="V10" i="19"/>
  <c r="W10" i="19" s="1"/>
  <c r="P24" i="18"/>
  <c r="P26" i="18"/>
  <c r="U11" i="18"/>
  <c r="U12" i="18"/>
  <c r="U13" i="18"/>
  <c r="U14" i="18"/>
  <c r="U15" i="18"/>
  <c r="U16" i="18"/>
  <c r="U17" i="18"/>
  <c r="U18" i="18"/>
  <c r="U19" i="18"/>
  <c r="U20" i="18"/>
  <c r="U21" i="18"/>
  <c r="U22" i="18"/>
  <c r="U23" i="18"/>
  <c r="U24" i="18"/>
  <c r="V24" i="18" s="1"/>
  <c r="W24" i="18" s="1"/>
  <c r="U25" i="18"/>
  <c r="U26" i="18"/>
  <c r="V26" i="18" s="1"/>
  <c r="W26" i="18" s="1"/>
  <c r="O25" i="18"/>
  <c r="P25" i="18" s="1"/>
  <c r="V25" i="18" s="1"/>
  <c r="W25" i="18" s="1"/>
  <c r="N25" i="18"/>
  <c r="O23" i="18"/>
  <c r="P23" i="18" s="1"/>
  <c r="V23" i="18" s="1"/>
  <c r="W23" i="18" s="1"/>
  <c r="N23" i="18"/>
  <c r="O22" i="18"/>
  <c r="P22" i="18" s="1"/>
  <c r="N22" i="18"/>
  <c r="O21" i="18"/>
  <c r="P21" i="18" s="1"/>
  <c r="V21" i="18" s="1"/>
  <c r="W21" i="18" s="1"/>
  <c r="N21" i="18"/>
  <c r="O20" i="18"/>
  <c r="P20" i="18" s="1"/>
  <c r="N20" i="18"/>
  <c r="O19" i="18"/>
  <c r="P19" i="18" s="1"/>
  <c r="N19" i="18"/>
  <c r="O18" i="18"/>
  <c r="P18" i="18" s="1"/>
  <c r="N18" i="18"/>
  <c r="O17" i="18"/>
  <c r="P17" i="18" s="1"/>
  <c r="V17" i="18" s="1"/>
  <c r="W17" i="18" s="1"/>
  <c r="N17" i="18"/>
  <c r="O16" i="18"/>
  <c r="P16" i="18" s="1"/>
  <c r="N16" i="18"/>
  <c r="V22" i="18" l="1"/>
  <c r="W22" i="18" s="1"/>
  <c r="V18" i="18"/>
  <c r="W18" i="18" s="1"/>
  <c r="V20" i="18"/>
  <c r="W20" i="18" s="1"/>
  <c r="V16" i="18"/>
  <c r="W16" i="18" s="1"/>
  <c r="V19" i="18"/>
  <c r="W19" i="18" s="1"/>
  <c r="O15" i="18"/>
  <c r="P15" i="18" s="1"/>
  <c r="V15" i="18" s="1"/>
  <c r="W15" i="18" s="1"/>
  <c r="N15" i="18"/>
  <c r="O14" i="18" l="1"/>
  <c r="P14" i="18" s="1"/>
  <c r="V14" i="18" s="1"/>
  <c r="W14" i="18" s="1"/>
  <c r="N14" i="18"/>
  <c r="O13" i="18"/>
  <c r="P13" i="18" s="1"/>
  <c r="V13" i="18" s="1"/>
  <c r="W13" i="18" s="1"/>
  <c r="N13" i="18"/>
  <c r="O12" i="18"/>
  <c r="P12" i="18" s="1"/>
  <c r="V12" i="18" s="1"/>
  <c r="W12" i="18" s="1"/>
  <c r="N12" i="18"/>
  <c r="O11" i="18"/>
  <c r="P11" i="18" s="1"/>
  <c r="V11" i="18" s="1"/>
  <c r="W11" i="18" s="1"/>
  <c r="N11" i="18"/>
  <c r="N10" i="18"/>
  <c r="O10" i="18"/>
  <c r="U10" i="18"/>
  <c r="P10" i="18"/>
  <c r="V10" i="18" l="1"/>
  <c r="W10" i="18" s="1"/>
  <c r="U24" i="17"/>
  <c r="O24" i="17"/>
  <c r="N24" i="17"/>
  <c r="P24" i="17" s="1"/>
  <c r="V24" i="17" s="1"/>
  <c r="W24" i="17" s="1"/>
  <c r="U21" i="17" l="1"/>
  <c r="U22" i="17"/>
  <c r="O23" i="17"/>
  <c r="P23" i="17" s="1"/>
  <c r="N22" i="17"/>
  <c r="P22" i="17" s="1"/>
  <c r="V22" i="17" s="1"/>
  <c r="O21" i="17"/>
  <c r="N21" i="17"/>
  <c r="O20" i="17"/>
  <c r="N20" i="17"/>
  <c r="P21" i="17" l="1"/>
  <c r="P20" i="17"/>
  <c r="W22" i="17"/>
  <c r="O15" i="17"/>
  <c r="N15" i="17"/>
  <c r="O14" i="17"/>
  <c r="N14" i="17"/>
  <c r="O13" i="17"/>
  <c r="N13" i="17"/>
  <c r="V21" i="17" l="1"/>
  <c r="W21" i="17" s="1"/>
  <c r="O12" i="17"/>
  <c r="N12" i="17"/>
  <c r="O11" i="17"/>
  <c r="N11" i="17"/>
  <c r="O10" i="17"/>
  <c r="N10" i="17"/>
  <c r="U20" i="17"/>
  <c r="U19" i="17"/>
  <c r="P19" i="17"/>
  <c r="U18" i="17"/>
  <c r="P18" i="17"/>
  <c r="U17" i="17"/>
  <c r="P17" i="17"/>
  <c r="U16" i="17"/>
  <c r="P16" i="17"/>
  <c r="U15" i="17"/>
  <c r="P15" i="17"/>
  <c r="U14" i="17"/>
  <c r="P14" i="17"/>
  <c r="U13" i="17"/>
  <c r="P13" i="17"/>
  <c r="U12" i="17"/>
  <c r="U11" i="17"/>
  <c r="U10" i="17"/>
  <c r="V16" i="17" l="1"/>
  <c r="W16" i="17" s="1"/>
  <c r="P12" i="17"/>
  <c r="V12" i="17" s="1"/>
  <c r="W12" i="17" s="1"/>
  <c r="P11" i="17"/>
  <c r="V11" i="17" s="1"/>
  <c r="W11" i="17" s="1"/>
  <c r="P10" i="17"/>
  <c r="V10" i="17" s="1"/>
  <c r="W10" i="17" s="1"/>
  <c r="V19" i="17"/>
  <c r="W19" i="17" s="1"/>
  <c r="V14" i="17"/>
  <c r="W14" i="17" s="1"/>
  <c r="V17" i="17"/>
  <c r="W17" i="17" s="1"/>
  <c r="V13" i="17"/>
  <c r="W13" i="17" s="1"/>
  <c r="V20" i="17"/>
  <c r="W20" i="17" s="1"/>
  <c r="V15" i="17"/>
  <c r="W15" i="17" s="1"/>
  <c r="V18" i="17"/>
  <c r="W18" i="17" s="1"/>
  <c r="U15" i="16"/>
  <c r="U16" i="16"/>
  <c r="U17" i="16"/>
  <c r="U18" i="16"/>
  <c r="U19" i="16"/>
  <c r="U20" i="16"/>
  <c r="P17" i="16"/>
  <c r="P19" i="16"/>
  <c r="P20" i="16"/>
  <c r="O18" i="16"/>
  <c r="N18" i="16"/>
  <c r="P18" i="16" s="1"/>
  <c r="O16" i="16"/>
  <c r="N16" i="16"/>
  <c r="P16" i="16" s="1"/>
  <c r="O15" i="16"/>
  <c r="N15" i="16"/>
  <c r="P15" i="16" s="1"/>
  <c r="O14" i="16"/>
  <c r="N14" i="16"/>
  <c r="P14" i="16" s="1"/>
  <c r="O13" i="16"/>
  <c r="N13" i="16"/>
  <c r="P13" i="16" s="1"/>
  <c r="O12" i="16"/>
  <c r="N12" i="16"/>
  <c r="P12" i="16" s="1"/>
  <c r="U11" i="16"/>
  <c r="U12" i="16"/>
  <c r="U13" i="16"/>
  <c r="U14" i="16"/>
  <c r="U10" i="16"/>
  <c r="O11" i="16"/>
  <c r="N11" i="16"/>
  <c r="O10" i="16"/>
  <c r="N10" i="16"/>
  <c r="P10" i="16" s="1"/>
  <c r="V17" i="16" l="1"/>
  <c r="W17" i="16" s="1"/>
  <c r="V20" i="16"/>
  <c r="W20" i="16" s="1"/>
  <c r="V16" i="16"/>
  <c r="W16" i="16" s="1"/>
  <c r="V18" i="16"/>
  <c r="W18" i="16" s="1"/>
  <c r="V19" i="16"/>
  <c r="W19" i="16" s="1"/>
  <c r="P11" i="16"/>
  <c r="V10" i="16"/>
  <c r="W10" i="16" s="1"/>
  <c r="V11" i="16"/>
  <c r="W11" i="16" s="1"/>
  <c r="V15" i="16"/>
  <c r="W15" i="16" s="1"/>
  <c r="V14" i="16"/>
  <c r="W14" i="16" s="1"/>
  <c r="V13" i="16"/>
  <c r="W13" i="16" s="1"/>
  <c r="V12" i="16"/>
  <c r="W12" i="16" s="1"/>
  <c r="O15" i="14"/>
  <c r="N15" i="14"/>
  <c r="O14" i="14"/>
  <c r="N14" i="14"/>
  <c r="P14" i="14" s="1"/>
  <c r="O13" i="14"/>
  <c r="N13" i="14"/>
  <c r="O12" i="14"/>
  <c r="N12" i="14"/>
  <c r="U11" i="14"/>
  <c r="U12" i="14"/>
  <c r="U13" i="14"/>
  <c r="U14" i="14"/>
  <c r="U15" i="14"/>
  <c r="U16" i="14"/>
  <c r="U17" i="14"/>
  <c r="O11" i="14"/>
  <c r="N11" i="14"/>
  <c r="P11" i="14"/>
  <c r="V11" i="14" s="1"/>
  <c r="W11" i="14" s="1"/>
  <c r="P16" i="14"/>
  <c r="P17" i="14"/>
  <c r="O10" i="14"/>
  <c r="N10" i="14"/>
  <c r="P10" i="14" s="1"/>
  <c r="U10" i="14"/>
  <c r="P12" i="14" l="1"/>
  <c r="V12" i="14" s="1"/>
  <c r="W12" i="14" s="1"/>
  <c r="V17" i="14"/>
  <c r="W17" i="14" s="1"/>
  <c r="P13" i="14"/>
  <c r="V13" i="14" s="1"/>
  <c r="W13" i="14" s="1"/>
  <c r="P15" i="14"/>
  <c r="V16" i="14"/>
  <c r="W16" i="14" s="1"/>
  <c r="V15" i="14"/>
  <c r="W15" i="14" s="1"/>
  <c r="V14" i="14"/>
  <c r="W14" i="14" s="1"/>
  <c r="V10" i="14"/>
  <c r="W10" i="14" s="1"/>
  <c r="O14" i="13"/>
  <c r="N14" i="13"/>
  <c r="P14" i="13" s="1"/>
  <c r="O13" i="13"/>
  <c r="N13" i="13"/>
  <c r="O12" i="13"/>
  <c r="N12" i="13"/>
  <c r="O11" i="13"/>
  <c r="N11" i="13"/>
  <c r="O10" i="13"/>
  <c r="N10" i="13"/>
  <c r="P10" i="13" s="1"/>
  <c r="U14" i="13"/>
  <c r="U13" i="13"/>
  <c r="P13" i="13"/>
  <c r="V13" i="13" s="1"/>
  <c r="W13" i="13" s="1"/>
  <c r="U12" i="13"/>
  <c r="U11" i="13"/>
  <c r="P11" i="13"/>
  <c r="U10" i="13"/>
  <c r="V11" i="13" l="1"/>
  <c r="W11" i="13" s="1"/>
  <c r="P12" i="13"/>
  <c r="V12" i="13" s="1"/>
  <c r="W12" i="13" s="1"/>
  <c r="V14" i="13"/>
  <c r="W14" i="13" s="1"/>
  <c r="V10" i="13"/>
  <c r="W10" i="13" s="1"/>
  <c r="O13" i="12"/>
  <c r="N13" i="12"/>
  <c r="O12" i="12"/>
  <c r="N12" i="12"/>
  <c r="O11" i="12"/>
  <c r="N11" i="12"/>
  <c r="O10" i="12"/>
  <c r="N10" i="12"/>
  <c r="U29" i="12"/>
  <c r="P29" i="12"/>
  <c r="V29" i="12" s="1"/>
  <c r="W29" i="12" s="1"/>
  <c r="U28" i="12"/>
  <c r="P28" i="12"/>
  <c r="V28" i="12" s="1"/>
  <c r="W28" i="12" s="1"/>
  <c r="U27" i="12"/>
  <c r="P27" i="12"/>
  <c r="V27" i="12" s="1"/>
  <c r="W27" i="12" s="1"/>
  <c r="U26" i="12"/>
  <c r="P26" i="12"/>
  <c r="V26" i="12" s="1"/>
  <c r="W26" i="12" s="1"/>
  <c r="U25" i="12"/>
  <c r="P25" i="12"/>
  <c r="V25" i="12" s="1"/>
  <c r="W25" i="12" s="1"/>
  <c r="U24" i="12"/>
  <c r="P24" i="12"/>
  <c r="V24" i="12" s="1"/>
  <c r="W24" i="12" s="1"/>
  <c r="U23" i="12"/>
  <c r="P23" i="12"/>
  <c r="V23" i="12" s="1"/>
  <c r="W23" i="12" s="1"/>
  <c r="U22" i="12"/>
  <c r="P22" i="12"/>
  <c r="V22" i="12" s="1"/>
  <c r="W22" i="12" s="1"/>
  <c r="U21" i="12"/>
  <c r="P21" i="12"/>
  <c r="V21" i="12" s="1"/>
  <c r="W21" i="12" s="1"/>
  <c r="U20" i="12"/>
  <c r="P20" i="12"/>
  <c r="V20" i="12" s="1"/>
  <c r="W20" i="12" s="1"/>
  <c r="U19" i="12"/>
  <c r="P19" i="12"/>
  <c r="V19" i="12" s="1"/>
  <c r="W19" i="12" s="1"/>
  <c r="U18" i="12"/>
  <c r="P18" i="12"/>
  <c r="V18" i="12" s="1"/>
  <c r="W18" i="12" s="1"/>
  <c r="U17" i="12"/>
  <c r="P17" i="12"/>
  <c r="V17" i="12" s="1"/>
  <c r="W17" i="12" s="1"/>
  <c r="U16" i="12"/>
  <c r="P16" i="12"/>
  <c r="V16" i="12" s="1"/>
  <c r="W16" i="12" s="1"/>
  <c r="U15" i="12"/>
  <c r="P15" i="12"/>
  <c r="V15" i="12" s="1"/>
  <c r="W15" i="12" s="1"/>
  <c r="U14" i="12"/>
  <c r="P14" i="12"/>
  <c r="V14" i="12" s="1"/>
  <c r="W14" i="12" s="1"/>
  <c r="U13" i="12"/>
  <c r="P13" i="12"/>
  <c r="V13" i="12" s="1"/>
  <c r="W13" i="12" s="1"/>
  <c r="U12" i="12"/>
  <c r="P12" i="12"/>
  <c r="V12" i="12" s="1"/>
  <c r="W12" i="12" s="1"/>
  <c r="U11" i="12"/>
  <c r="P11" i="12"/>
  <c r="U10" i="12"/>
  <c r="P10" i="12"/>
  <c r="V10" i="12" s="1"/>
  <c r="W10" i="12" s="1"/>
  <c r="V11" i="12" l="1"/>
  <c r="W11" i="12" s="1"/>
  <c r="O14" i="11"/>
  <c r="N14" i="11"/>
  <c r="P14" i="11" s="1"/>
  <c r="O13" i="11"/>
  <c r="N13" i="11"/>
  <c r="P13" i="11" s="1"/>
  <c r="O12" i="11"/>
  <c r="N12" i="11"/>
  <c r="P12" i="11"/>
  <c r="P15" i="11"/>
  <c r="P16" i="11"/>
  <c r="P17" i="11"/>
  <c r="P18" i="11"/>
  <c r="P19" i="11"/>
  <c r="P20" i="11"/>
  <c r="P21" i="11"/>
  <c r="P22" i="11"/>
  <c r="P23" i="11"/>
  <c r="P24" i="11"/>
  <c r="P25" i="11"/>
  <c r="P26" i="11"/>
  <c r="P27" i="11"/>
  <c r="P28" i="11"/>
  <c r="P29" i="11"/>
  <c r="O11" i="11"/>
  <c r="N11" i="11"/>
  <c r="P11" i="11" s="1"/>
  <c r="O10" i="11" l="1"/>
  <c r="N10" i="11"/>
  <c r="P10" i="11" s="1"/>
  <c r="U11" i="11"/>
  <c r="V11" i="11" s="1"/>
  <c r="W11" i="11" s="1"/>
  <c r="U12" i="11"/>
  <c r="V12" i="11" s="1"/>
  <c r="W12" i="11" s="1"/>
  <c r="U13" i="11"/>
  <c r="V13" i="11" s="1"/>
  <c r="W13" i="11" s="1"/>
  <c r="U14" i="11"/>
  <c r="V14" i="11" s="1"/>
  <c r="W14" i="11" s="1"/>
  <c r="U15" i="11"/>
  <c r="V15" i="11" s="1"/>
  <c r="W15" i="11" s="1"/>
  <c r="U16" i="11"/>
  <c r="V16" i="11" s="1"/>
  <c r="W16" i="11" s="1"/>
  <c r="U17" i="11"/>
  <c r="V17" i="11" s="1"/>
  <c r="W17" i="11" s="1"/>
  <c r="U18" i="11"/>
  <c r="V18" i="11"/>
  <c r="W18" i="11" s="1"/>
  <c r="U19" i="11"/>
  <c r="V19" i="11"/>
  <c r="W19" i="11" s="1"/>
  <c r="U20" i="11"/>
  <c r="V20" i="11" s="1"/>
  <c r="W20" i="11" s="1"/>
  <c r="U21" i="11"/>
  <c r="V21" i="11" s="1"/>
  <c r="W21" i="11" s="1"/>
  <c r="U22" i="11"/>
  <c r="V22" i="11" s="1"/>
  <c r="W22" i="11" s="1"/>
  <c r="U23" i="11"/>
  <c r="V23" i="11" s="1"/>
  <c r="W23" i="11" s="1"/>
  <c r="U24" i="11"/>
  <c r="V24" i="11" s="1"/>
  <c r="W24" i="11" s="1"/>
  <c r="U25" i="11"/>
  <c r="V25" i="11"/>
  <c r="W25" i="11" s="1"/>
  <c r="U26" i="11"/>
  <c r="V26" i="11" s="1"/>
  <c r="W26" i="11" s="1"/>
  <c r="U27" i="11"/>
  <c r="V27" i="11" s="1"/>
  <c r="W27" i="11" s="1"/>
  <c r="U28" i="11"/>
  <c r="V28" i="11" s="1"/>
  <c r="W28" i="11" s="1"/>
  <c r="U29" i="11"/>
  <c r="V29" i="11" s="1"/>
  <c r="W29" i="11" s="1"/>
  <c r="U10" i="11"/>
  <c r="V10" i="11" l="1"/>
  <c r="W10" i="11" s="1"/>
  <c r="P28" i="10"/>
  <c r="O30" i="10"/>
  <c r="N30" i="10"/>
  <c r="P30" i="10" s="1"/>
  <c r="O29" i="10"/>
  <c r="N29" i="10"/>
  <c r="P29" i="10" s="1"/>
  <c r="N27" i="10"/>
  <c r="N26" i="10"/>
  <c r="P26" i="10" s="1"/>
  <c r="N24" i="10"/>
  <c r="N23" i="10"/>
  <c r="P23" i="10" s="1"/>
  <c r="O22" i="10"/>
  <c r="N22" i="10"/>
  <c r="P22" i="10" s="1"/>
  <c r="O21" i="10"/>
  <c r="N21" i="10"/>
  <c r="O20" i="10"/>
  <c r="N20" i="10"/>
  <c r="P20" i="10" s="1"/>
  <c r="O19" i="10"/>
  <c r="N19" i="10"/>
  <c r="O18" i="10"/>
  <c r="N18" i="10"/>
  <c r="O17" i="10"/>
  <c r="N17" i="10"/>
  <c r="P17" i="10" s="1"/>
  <c r="O16" i="10"/>
  <c r="N16" i="10"/>
  <c r="P16" i="10" s="1"/>
  <c r="O15" i="10"/>
  <c r="N15" i="10"/>
  <c r="O14" i="10"/>
  <c r="N14" i="10"/>
  <c r="P14" i="10" s="1"/>
  <c r="O13" i="10"/>
  <c r="N13" i="10"/>
  <c r="P13" i="10" s="1"/>
  <c r="O12" i="10"/>
  <c r="N12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30" i="10"/>
  <c r="P15" i="10"/>
  <c r="V15" i="10" s="1"/>
  <c r="W15" i="10" s="1"/>
  <c r="P19" i="10"/>
  <c r="P21" i="10"/>
  <c r="P24" i="10"/>
  <c r="P25" i="10"/>
  <c r="P27" i="10"/>
  <c r="O11" i="10"/>
  <c r="N11" i="10"/>
  <c r="P11" i="10" s="1"/>
  <c r="O10" i="10"/>
  <c r="N10" i="10"/>
  <c r="V22" i="10" l="1"/>
  <c r="W22" i="10" s="1"/>
  <c r="V24" i="10"/>
  <c r="W24" i="10" s="1"/>
  <c r="V23" i="10"/>
  <c r="W23" i="10" s="1"/>
  <c r="V28" i="10"/>
  <c r="W28" i="10" s="1"/>
  <c r="P12" i="10"/>
  <c r="V12" i="10" s="1"/>
  <c r="W12" i="10" s="1"/>
  <c r="P18" i="10"/>
  <c r="V18" i="10" s="1"/>
  <c r="W18" i="10" s="1"/>
  <c r="V27" i="10"/>
  <c r="W27" i="10" s="1"/>
  <c r="V26" i="10"/>
  <c r="W26" i="10" s="1"/>
  <c r="V30" i="10"/>
  <c r="W30" i="10" s="1"/>
  <c r="V21" i="10"/>
  <c r="W21" i="10" s="1"/>
  <c r="V20" i="10"/>
  <c r="W20" i="10" s="1"/>
  <c r="V19" i="10"/>
  <c r="W19" i="10" s="1"/>
  <c r="V17" i="10"/>
  <c r="W17" i="10" s="1"/>
  <c r="V16" i="10"/>
  <c r="W16" i="10" s="1"/>
  <c r="V29" i="10"/>
  <c r="W29" i="10" s="1"/>
  <c r="V14" i="10"/>
  <c r="W14" i="10" s="1"/>
  <c r="V25" i="10"/>
  <c r="W25" i="10" s="1"/>
  <c r="V13" i="10"/>
  <c r="W13" i="10" s="1"/>
  <c r="V11" i="10"/>
  <c r="W11" i="10" s="1"/>
  <c r="U10" i="10"/>
  <c r="P10" i="10" l="1"/>
  <c r="V10" i="10" s="1"/>
  <c r="W10" i="10" s="1"/>
  <c r="O32" i="9"/>
  <c r="N32" i="9"/>
  <c r="O31" i="9"/>
  <c r="N31" i="9"/>
  <c r="O30" i="9"/>
  <c r="N30" i="9"/>
  <c r="O29" i="9"/>
  <c r="O28" i="9"/>
  <c r="N29" i="9"/>
  <c r="N28" i="9"/>
  <c r="O27" i="9"/>
  <c r="N27" i="9"/>
  <c r="P29" i="9" l="1"/>
  <c r="O26" i="9"/>
  <c r="N26" i="9"/>
  <c r="P26" i="9" s="1"/>
  <c r="O25" i="9"/>
  <c r="N25" i="9"/>
  <c r="P25" i="9"/>
  <c r="O24" i="9"/>
  <c r="N24" i="9"/>
  <c r="N23" i="9"/>
  <c r="O23" i="9"/>
  <c r="P23" i="9" s="1"/>
  <c r="P27" i="9"/>
  <c r="P31" i="9"/>
  <c r="U23" i="9"/>
  <c r="U24" i="9"/>
  <c r="U25" i="9"/>
  <c r="U26" i="9"/>
  <c r="U27" i="9"/>
  <c r="P28" i="9"/>
  <c r="U28" i="9"/>
  <c r="U29" i="9"/>
  <c r="P30" i="9"/>
  <c r="U30" i="9"/>
  <c r="U31" i="9"/>
  <c r="P32" i="9"/>
  <c r="U32" i="9"/>
  <c r="O22" i="9"/>
  <c r="N22" i="9"/>
  <c r="O21" i="9"/>
  <c r="N21" i="9"/>
  <c r="O20" i="9"/>
  <c r="N20" i="9"/>
  <c r="O19" i="9"/>
  <c r="N19" i="9"/>
  <c r="O18" i="9"/>
  <c r="N18" i="9"/>
  <c r="V30" i="9" l="1"/>
  <c r="W30" i="9" s="1"/>
  <c r="V23" i="9"/>
  <c r="W23" i="9" s="1"/>
  <c r="V31" i="9"/>
  <c r="W31" i="9" s="1"/>
  <c r="P24" i="9"/>
  <c r="V25" i="9"/>
  <c r="W25" i="9" s="1"/>
  <c r="V32" i="9"/>
  <c r="W32" i="9" s="1"/>
  <c r="V24" i="9"/>
  <c r="W24" i="9" s="1"/>
  <c r="V26" i="9"/>
  <c r="W26" i="9" s="1"/>
  <c r="V29" i="9"/>
  <c r="W29" i="9" s="1"/>
  <c r="V28" i="9"/>
  <c r="W28" i="9" s="1"/>
  <c r="V27" i="9"/>
  <c r="W27" i="9" s="1"/>
  <c r="O17" i="9"/>
  <c r="N17" i="9"/>
  <c r="P17" i="9" s="1"/>
  <c r="O16" i="9"/>
  <c r="N16" i="9"/>
  <c r="P16" i="9" s="1"/>
  <c r="O15" i="9"/>
  <c r="N15" i="9"/>
  <c r="O14" i="9"/>
  <c r="N14" i="9"/>
  <c r="O13" i="9"/>
  <c r="N13" i="9"/>
  <c r="O12" i="9"/>
  <c r="N12" i="9"/>
  <c r="O11" i="9"/>
  <c r="N11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P12" i="9"/>
  <c r="P13" i="9"/>
  <c r="P18" i="9"/>
  <c r="P19" i="9"/>
  <c r="P20" i="9"/>
  <c r="P21" i="9"/>
  <c r="P22" i="9"/>
  <c r="O10" i="9"/>
  <c r="N10" i="9"/>
  <c r="P11" i="9" l="1"/>
  <c r="P15" i="9"/>
  <c r="P14" i="9"/>
  <c r="P10" i="9"/>
  <c r="V10" i="9" s="1"/>
  <c r="W10" i="9" s="1"/>
  <c r="V19" i="9"/>
  <c r="W19" i="9" s="1"/>
  <c r="V11" i="9"/>
  <c r="W11" i="9" s="1"/>
  <c r="V22" i="9"/>
  <c r="W22" i="9" s="1"/>
  <c r="V21" i="9"/>
  <c r="W21" i="9" s="1"/>
  <c r="V20" i="9"/>
  <c r="W20" i="9" s="1"/>
  <c r="V18" i="9"/>
  <c r="W18" i="9" s="1"/>
  <c r="V17" i="9"/>
  <c r="W17" i="9" s="1"/>
  <c r="V16" i="9"/>
  <c r="W16" i="9" s="1"/>
  <c r="V15" i="9"/>
  <c r="W15" i="9" s="1"/>
  <c r="V14" i="9"/>
  <c r="W14" i="9" s="1"/>
  <c r="V13" i="9"/>
  <c r="W13" i="9" s="1"/>
  <c r="V12" i="9"/>
  <c r="W12" i="9" s="1"/>
  <c r="O26" i="8"/>
  <c r="N26" i="8"/>
  <c r="O25" i="8"/>
  <c r="N25" i="8"/>
  <c r="N24" i="8"/>
  <c r="O24" i="8"/>
  <c r="O23" i="8"/>
  <c r="N23" i="8"/>
  <c r="P23" i="8" s="1"/>
  <c r="U21" i="8"/>
  <c r="U22" i="8"/>
  <c r="U23" i="8"/>
  <c r="U24" i="8"/>
  <c r="U25" i="8"/>
  <c r="U26" i="8"/>
  <c r="O22" i="8"/>
  <c r="N22" i="8"/>
  <c r="O21" i="8"/>
  <c r="N21" i="8"/>
  <c r="O20" i="8"/>
  <c r="N20" i="8"/>
  <c r="O19" i="8"/>
  <c r="N19" i="8"/>
  <c r="O18" i="8"/>
  <c r="N18" i="8"/>
  <c r="O17" i="8"/>
  <c r="N17" i="8"/>
  <c r="O16" i="8"/>
  <c r="N16" i="8"/>
  <c r="O15" i="8"/>
  <c r="N15" i="8"/>
  <c r="P15" i="8" s="1"/>
  <c r="O14" i="8"/>
  <c r="N14" i="8"/>
  <c r="O13" i="8"/>
  <c r="N13" i="8"/>
  <c r="O12" i="8"/>
  <c r="N12" i="8"/>
  <c r="O11" i="8"/>
  <c r="N11" i="8"/>
  <c r="P11" i="8" s="1"/>
  <c r="U10" i="8"/>
  <c r="U11" i="8"/>
  <c r="U12" i="8"/>
  <c r="U13" i="8"/>
  <c r="U14" i="8"/>
  <c r="U15" i="8"/>
  <c r="U16" i="8"/>
  <c r="U17" i="8"/>
  <c r="U18" i="8"/>
  <c r="U19" i="8"/>
  <c r="U20" i="8"/>
  <c r="P12" i="8"/>
  <c r="P19" i="8"/>
  <c r="O10" i="8"/>
  <c r="N10" i="8"/>
  <c r="P13" i="8" l="1"/>
  <c r="P21" i="8"/>
  <c r="V21" i="8" s="1"/>
  <c r="W21" i="8" s="1"/>
  <c r="P24" i="8"/>
  <c r="P26" i="8"/>
  <c r="P14" i="8"/>
  <c r="P22" i="8"/>
  <c r="V22" i="8" s="1"/>
  <c r="W22" i="8" s="1"/>
  <c r="P16" i="8"/>
  <c r="P10" i="8"/>
  <c r="P17" i="8"/>
  <c r="V26" i="8"/>
  <c r="W26" i="8" s="1"/>
  <c r="V19" i="8"/>
  <c r="W19" i="8" s="1"/>
  <c r="V11" i="8"/>
  <c r="W11" i="8" s="1"/>
  <c r="P25" i="8"/>
  <c r="V25" i="8" s="1"/>
  <c r="W25" i="8" s="1"/>
  <c r="P18" i="8"/>
  <c r="V18" i="8" s="1"/>
  <c r="W18" i="8" s="1"/>
  <c r="P20" i="8"/>
  <c r="V20" i="8" s="1"/>
  <c r="W20" i="8" s="1"/>
  <c r="V24" i="8"/>
  <c r="W24" i="8" s="1"/>
  <c r="V23" i="8"/>
  <c r="W23" i="8" s="1"/>
  <c r="V17" i="8"/>
  <c r="W17" i="8" s="1"/>
  <c r="V16" i="8"/>
  <c r="W16" i="8" s="1"/>
  <c r="V15" i="8"/>
  <c r="W15" i="8" s="1"/>
  <c r="V14" i="8"/>
  <c r="W14" i="8" s="1"/>
  <c r="V13" i="8"/>
  <c r="W13" i="8" s="1"/>
  <c r="V12" i="8"/>
  <c r="W12" i="8" s="1"/>
  <c r="V10" i="8"/>
  <c r="W10" i="8" s="1"/>
  <c r="O22" i="7"/>
  <c r="N22" i="7"/>
  <c r="P22" i="7" s="1"/>
  <c r="O20" i="7"/>
  <c r="N20" i="7"/>
  <c r="O19" i="7"/>
  <c r="N19" i="7"/>
  <c r="P19" i="7" s="1"/>
  <c r="O18" i="7"/>
  <c r="N18" i="7"/>
  <c r="O17" i="7"/>
  <c r="N17" i="7"/>
  <c r="O16" i="7"/>
  <c r="N16" i="7"/>
  <c r="U16" i="7"/>
  <c r="U17" i="7"/>
  <c r="U18" i="7"/>
  <c r="U19" i="7"/>
  <c r="U20" i="7"/>
  <c r="U21" i="7"/>
  <c r="U22" i="7"/>
  <c r="P21" i="7"/>
  <c r="N15" i="7"/>
  <c r="O15" i="7"/>
  <c r="U15" i="7"/>
  <c r="O14" i="7"/>
  <c r="N14" i="7"/>
  <c r="O13" i="7"/>
  <c r="N13" i="7"/>
  <c r="O12" i="7"/>
  <c r="N12" i="7"/>
  <c r="U11" i="7"/>
  <c r="U10" i="7"/>
  <c r="U12" i="7"/>
  <c r="U13" i="7"/>
  <c r="U14" i="7"/>
  <c r="O11" i="7"/>
  <c r="N11" i="7"/>
  <c r="O10" i="7"/>
  <c r="N10" i="7"/>
  <c r="V22" i="7" l="1"/>
  <c r="W22" i="7" s="1"/>
  <c r="P11" i="7"/>
  <c r="P16" i="7"/>
  <c r="V16" i="7" s="1"/>
  <c r="W16" i="7" s="1"/>
  <c r="P20" i="7"/>
  <c r="V20" i="7" s="1"/>
  <c r="W20" i="7" s="1"/>
  <c r="V19" i="7"/>
  <c r="W19" i="7" s="1"/>
  <c r="P17" i="7"/>
  <c r="V17" i="7" s="1"/>
  <c r="W17" i="7" s="1"/>
  <c r="P18" i="7"/>
  <c r="V18" i="7" s="1"/>
  <c r="W18" i="7" s="1"/>
  <c r="V21" i="7"/>
  <c r="W21" i="7" s="1"/>
  <c r="P13" i="7"/>
  <c r="V13" i="7" s="1"/>
  <c r="W13" i="7" s="1"/>
  <c r="P15" i="7"/>
  <c r="V15" i="7" s="1"/>
  <c r="W15" i="7" s="1"/>
  <c r="P14" i="7"/>
  <c r="V14" i="7" s="1"/>
  <c r="W14" i="7" s="1"/>
  <c r="V11" i="7"/>
  <c r="W11" i="7" s="1"/>
  <c r="P12" i="7"/>
  <c r="V12" i="7" s="1"/>
  <c r="W12" i="7" s="1"/>
  <c r="P10" i="7"/>
  <c r="V10" i="7" l="1"/>
  <c r="W10" i="7" s="1"/>
  <c r="O15" i="6"/>
  <c r="N15" i="6"/>
  <c r="O14" i="6"/>
  <c r="N14" i="6"/>
  <c r="O13" i="6"/>
  <c r="N13" i="6"/>
  <c r="P13" i="6" s="1"/>
  <c r="O12" i="6"/>
  <c r="N12" i="6"/>
  <c r="U11" i="6"/>
  <c r="U12" i="6"/>
  <c r="U13" i="6"/>
  <c r="U14" i="6"/>
  <c r="U15" i="6"/>
  <c r="O11" i="6"/>
  <c r="N11" i="6"/>
  <c r="P11" i="6" s="1"/>
  <c r="N10" i="6"/>
  <c r="O10" i="6"/>
  <c r="U10" i="6"/>
  <c r="P14" i="6" l="1"/>
  <c r="V14" i="6" s="1"/>
  <c r="W14" i="6" s="1"/>
  <c r="P15" i="6"/>
  <c r="V15" i="6" s="1"/>
  <c r="W15" i="6" s="1"/>
  <c r="P12" i="6"/>
  <c r="V11" i="6"/>
  <c r="W11" i="6" s="1"/>
  <c r="P10" i="6"/>
  <c r="V10" i="6" s="1"/>
  <c r="W10" i="6" s="1"/>
  <c r="V13" i="6"/>
  <c r="W13" i="6" s="1"/>
  <c r="V12" i="6"/>
  <c r="W12" i="6" s="1"/>
  <c r="N6" i="39"/>
  <c r="P6" i="42"/>
  <c r="V6" i="42" s="1"/>
  <c r="W6" i="42" s="1"/>
  <c r="P7" i="42"/>
  <c r="V7" i="42" s="1"/>
  <c r="W7" i="42" s="1"/>
</calcChain>
</file>

<file path=xl/sharedStrings.xml><?xml version="1.0" encoding="utf-8"?>
<sst xmlns="http://schemas.openxmlformats.org/spreadsheetml/2006/main" count="7441" uniqueCount="689">
  <si>
    <t>MÊS REFERÊNCIA:</t>
  </si>
  <si>
    <t>MATRIZ DE GERENCIAMENTO DE DIÁRIAS E PASSAGENS</t>
  </si>
  <si>
    <t>UNIDADE GESTORA</t>
  </si>
  <si>
    <t>SERVIDOR</t>
  </si>
  <si>
    <t>EVENTO</t>
  </si>
  <si>
    <t>PASSAGENS</t>
  </si>
  <si>
    <t>DIÁRIAS</t>
  </si>
  <si>
    <t>TOTAL (R$)</t>
  </si>
  <si>
    <t>OBSERVAÇÕES</t>
  </si>
  <si>
    <t>UGC</t>
  </si>
  <si>
    <t>UGE</t>
  </si>
  <si>
    <t>Nome Completo do Favorecido</t>
  </si>
  <si>
    <t>Matrícula</t>
  </si>
  <si>
    <t>Cargo/Função</t>
  </si>
  <si>
    <t>Motivo (Descrição)</t>
  </si>
  <si>
    <t>Tipo</t>
  </si>
  <si>
    <t>Origem</t>
  </si>
  <si>
    <t>Destino</t>
  </si>
  <si>
    <t>Data (ida)</t>
  </si>
  <si>
    <t>Data (volta)</t>
  </si>
  <si>
    <t>Valor (ida)</t>
  </si>
  <si>
    <t>Valor (volta)</t>
  </si>
  <si>
    <t>Total (R$)</t>
  </si>
  <si>
    <t>INTEGRAIS</t>
  </si>
  <si>
    <t>PARCIAIS</t>
  </si>
  <si>
    <t>Total de diárias</t>
  </si>
  <si>
    <t>UF</t>
  </si>
  <si>
    <t>Cidade</t>
  </si>
  <si>
    <t>Cidade/País</t>
  </si>
  <si>
    <t>Quantidade</t>
  </si>
  <si>
    <t>Valor unitário</t>
  </si>
  <si>
    <t>DTC</t>
  </si>
  <si>
    <t>GERE</t>
  </si>
  <si>
    <t>ADEMIR VIEIRA</t>
  </si>
  <si>
    <t>COORDENADOR DE ENGENHARIA</t>
  </si>
  <si>
    <t>REUNIÃO SOBRE MATRIZ DE RISCO</t>
  </si>
  <si>
    <t>NACIONAL</t>
  </si>
  <si>
    <t>PE</t>
  </si>
  <si>
    <t>RECIFE</t>
  </si>
  <si>
    <t>RJ</t>
  </si>
  <si>
    <t>RIO DE JANEIRO</t>
  </si>
  <si>
    <t>GILBERTO DE SOUZA SANTOS</t>
  </si>
  <si>
    <t>GESTOR DE PROJETOS</t>
  </si>
  <si>
    <t>REUNIÃO NA MITSUI PADRONIZAÇÃO DE ESPECIFICAÇÕES TÉCNICAS DE MATERIAS &amp; EQUIPAMENTOS</t>
  </si>
  <si>
    <t>DAF</t>
  </si>
  <si>
    <t>GCON</t>
  </si>
  <si>
    <t>ALEXANDRE CARLOS DE CARVALHO LISBOA</t>
  </si>
  <si>
    <t>GERENTE DE CONTABILIDADE E FISCAL</t>
  </si>
  <si>
    <t>REUNIÃO DO GT DE CONTABILIDADE DA ABEGÁS E EUNIÃO DO PCPGÁS</t>
  </si>
  <si>
    <t>JAILSON JOSÉ GALVÃO</t>
  </si>
  <si>
    <t>DIRETOR TÉCNICO COMERCIAL</t>
  </si>
  <si>
    <t>REUNIÃO GASPETRO</t>
  </si>
  <si>
    <t>PRE</t>
  </si>
  <si>
    <t>CJUR</t>
  </si>
  <si>
    <t>CARLOS EDUARDO CARNEIRO GUEDES ALCOFORADO</t>
  </si>
  <si>
    <t>COORDENADOR JURÍDICO</t>
  </si>
  <si>
    <t>REUNIÃO THOMAS LUCHINI - PRESIDENTE GASPETRO</t>
  </si>
  <si>
    <t>CPLA</t>
  </si>
  <si>
    <t>EMANUELLE CRISTINE DA SILVA BARCELAR</t>
  </si>
  <si>
    <t>000242</t>
  </si>
  <si>
    <t>ANALISTA FINANCEIRO</t>
  </si>
  <si>
    <t>REALIZAÇÃO DE CURSO - PLANEJAMENTO FINANCEIRO E ORÇAMENTO</t>
  </si>
  <si>
    <t>SP</t>
  </si>
  <si>
    <t>SÃO PAULO</t>
  </si>
  <si>
    <t>QSMS</t>
  </si>
  <si>
    <t>RENATA DE ASSIS ALBUQUERQUE</t>
  </si>
  <si>
    <t>000195</t>
  </si>
  <si>
    <t>TÉCNICO QSMS</t>
  </si>
  <si>
    <t>REALIZAÇÃO DE CURSO - ATMOSFERAS EXPLOSIVAS</t>
  </si>
  <si>
    <t>000232</t>
  </si>
  <si>
    <t>REALIZAÇÃO DE CURSO - CONTRATO DE CONCESSÃO</t>
  </si>
  <si>
    <t>CLAUDEMIR JOSE DA SILVA</t>
  </si>
  <si>
    <t>000303</t>
  </si>
  <si>
    <t>TÉCNICO OPERACIONAL QSMS</t>
  </si>
  <si>
    <t>000066</t>
  </si>
  <si>
    <t>REUNIÃO</t>
  </si>
  <si>
    <t>JAIME CERQUEIRA LIMA ISENSEE</t>
  </si>
  <si>
    <t>-</t>
  </si>
  <si>
    <t>ASSISTENTE DE DIRETORIA</t>
  </si>
  <si>
    <t>LUCIANO COUTO ROSA GUIMARAES</t>
  </si>
  <si>
    <t>DIRETOR ADMINISTRATIVO FINANCEIRO</t>
  </si>
  <si>
    <t>GDIS</t>
  </si>
  <si>
    <t>GEORGE WASHINGTON PAULO FERREIRA</t>
  </si>
  <si>
    <t>000146</t>
  </si>
  <si>
    <t>COORDENADOR DE DISTRIBUIÇÃO</t>
  </si>
  <si>
    <t xml:space="preserve">EVENTO </t>
  </si>
  <si>
    <t>ROBERTO CARLOS MOREIRA FONTELLES</t>
  </si>
  <si>
    <t>DIRETOR PRESIDENTE</t>
  </si>
  <si>
    <t>000056</t>
  </si>
  <si>
    <t>REUNIÃO ANP</t>
  </si>
  <si>
    <t>REUNIÃO PETROBRAS</t>
  </si>
  <si>
    <t>GMAR</t>
  </si>
  <si>
    <t>RUBENING FERNANDO PEREIRA FELIPE</t>
  </si>
  <si>
    <t>000254</t>
  </si>
  <si>
    <t>TÉCNICO OPERACIONAL DE MEDIÇÃO E AUTOMOÇÃO</t>
  </si>
  <si>
    <t>CURSO ABGÁS</t>
  </si>
  <si>
    <t>ITALLO JOSE DOS SANTOS</t>
  </si>
  <si>
    <t>000073</t>
  </si>
  <si>
    <t>TÉCNICO OPERACIONAL DE OPERAÇÕES</t>
  </si>
  <si>
    <t>CURSO TRABALHOS EM ATMOSFERA EXPLOSIVA</t>
  </si>
  <si>
    <t>DANILO PAVEL SOARES  DO ESPIRITO SANTO</t>
  </si>
  <si>
    <t>000277</t>
  </si>
  <si>
    <t>ENGENHEIRO DE PROJETOS</t>
  </si>
  <si>
    <t>REUNIÃO GT PADRONIZAÇÃO ESPECIFICAÇÕES TÉCNICAS DE MATERIAS E EQUIPAMENTOS</t>
  </si>
  <si>
    <t>SC</t>
  </si>
  <si>
    <t>FLORIANÓPOLIS</t>
  </si>
  <si>
    <t xml:space="preserve">PRE </t>
  </si>
  <si>
    <t>000000</t>
  </si>
  <si>
    <t>REUNIÃO CEGÁS</t>
  </si>
  <si>
    <t>CE</t>
  </si>
  <si>
    <t>FORTALEZA</t>
  </si>
  <si>
    <t>GCRC</t>
  </si>
  <si>
    <t>ELIZEU SERGIO DE AMORIM COELHO</t>
  </si>
  <si>
    <t>000182</t>
  </si>
  <si>
    <t>ENGENHEIRO DE SUPORTE TÉCNICO</t>
  </si>
  <si>
    <t>CURSO APERFEIÇOAMENTO EM TECNOLOGIA DE MANUTENÇÃO E CONVERSÃO DE AQUECEDORES DIGITAIS</t>
  </si>
  <si>
    <t>BA</t>
  </si>
  <si>
    <t>SALVADOR</t>
  </si>
  <si>
    <t>DERLIN ALVES MOREIRA NETO</t>
  </si>
  <si>
    <t>000150</t>
  </si>
  <si>
    <t>SUPERVISOR DE PROCESSOS E QUALIDADE</t>
  </si>
  <si>
    <t>REUNIÃO CDL'S E CURSO ABGÁS</t>
  </si>
  <si>
    <t>REUNIÃO BAHIAGÁS</t>
  </si>
  <si>
    <t>FERNANDO PIMENTEL FILHO</t>
  </si>
  <si>
    <t>000067</t>
  </si>
  <si>
    <t>ASSISTENTE DIRETOR</t>
  </si>
  <si>
    <t>FORUM</t>
  </si>
  <si>
    <t xml:space="preserve">SP </t>
  </si>
  <si>
    <t>REUNIÃO NA LEITE, TOSTO  E BARROS ADVOGADOS</t>
  </si>
  <si>
    <t>CNNE</t>
  </si>
  <si>
    <t>MANOEL HENRIQUE DE ANDRADE LIMA</t>
  </si>
  <si>
    <t>000147</t>
  </si>
  <si>
    <t xml:space="preserve">COORDENADOR DE NOVOS NEGÓCIOS </t>
  </si>
  <si>
    <t>GFIN</t>
  </si>
  <si>
    <t xml:space="preserve">EVELLYN MARIA RAINHA PERDIGÃO </t>
  </si>
  <si>
    <t>000280</t>
  </si>
  <si>
    <t>ENCONTRO TÉCNICO FINANCEIRO 2017</t>
  </si>
  <si>
    <t>RENAN ALEX ALBUQUERQUE BEZERRA</t>
  </si>
  <si>
    <t>000202</t>
  </si>
  <si>
    <t>SUPERVISOR DE ORÇAMENTO</t>
  </si>
  <si>
    <t>ISABELA DA SILVA SANTANA</t>
  </si>
  <si>
    <t>000230</t>
  </si>
  <si>
    <t>GERENTE FINANCEIRO</t>
  </si>
  <si>
    <t>CLCO</t>
  </si>
  <si>
    <t>HENRIQUE PAASHAUS ACIOLY DE DE MELO</t>
  </si>
  <si>
    <t>000296</t>
  </si>
  <si>
    <t>SUPERVISOR JÚRIDICO</t>
  </si>
  <si>
    <t>BENCHMARKING + ATIVO FIXO NA ALGÁS</t>
  </si>
  <si>
    <t>AL</t>
  </si>
  <si>
    <t>MACEIO</t>
  </si>
  <si>
    <t>FÓRUM DE EDITAIS - PROMOVIDO PELA MITSUI</t>
  </si>
  <si>
    <t>GADS</t>
  </si>
  <si>
    <t>MARCOS FILIPE PEIXOTO DE ARAUJO</t>
  </si>
  <si>
    <t>000293</t>
  </si>
  <si>
    <t>SUPERVISOR DE COMPRAS</t>
  </si>
  <si>
    <t>ROMUALDO BARROS GUIMARAES</t>
  </si>
  <si>
    <t>000047</t>
  </si>
  <si>
    <t>GERENTE DE ADMINISTRAÇÃO E SUPRIMENTOS</t>
  </si>
  <si>
    <t>RENATO JOSE PESSOA MENDES</t>
  </si>
  <si>
    <t>000045</t>
  </si>
  <si>
    <t>COORDENADOR DE CONTRATAÇÃO E PLANEJAMENTO</t>
  </si>
  <si>
    <t>REUNIÃO MITSUI</t>
  </si>
  <si>
    <t>ADAF</t>
  </si>
  <si>
    <t>FÓRUM PLATTS DE ENERGIA DO BRASIL</t>
  </si>
  <si>
    <t xml:space="preserve">TÉCNICO OPERACIONAL </t>
  </si>
  <si>
    <t>APRESENTAÇÃO DE TRABALHO (RIO PIPELINE)</t>
  </si>
  <si>
    <t>FÓRUM DE EQUALIZAÇÃO DE EDITAIS E LEIS 13303</t>
  </si>
  <si>
    <t>GETULIO ALVES DE MELO MENDONÇA JUNIOR</t>
  </si>
  <si>
    <t>000158</t>
  </si>
  <si>
    <t>GESTOR DE PLANEJAMENTO E CONTROLE E CONTRATO</t>
  </si>
  <si>
    <t>REUNIÃO GT PADRONIZAÇÃO PPU/CPU</t>
  </si>
  <si>
    <t>000129</t>
  </si>
  <si>
    <t xml:space="preserve"> POSSE DO NOVO PRESIDENTE ANP</t>
  </si>
  <si>
    <t>RENATA BARBOSA DAMASIO</t>
  </si>
  <si>
    <t>0000127</t>
  </si>
  <si>
    <t>ENGENHAIRA DE OPERAÇÕES</t>
  </si>
  <si>
    <t>APRESENTAÇÃO ORÇAMENTO MITSUI</t>
  </si>
  <si>
    <t>CURSO POLITICA DE COBRANÇA E CONTROLE DE INADIMPLÊNCIA</t>
  </si>
  <si>
    <t>ALEXANDRA SOCORRO DE SOUSA NOGUEIRA CUNACIA</t>
  </si>
  <si>
    <t>000039</t>
  </si>
  <si>
    <t>SUPERVISORA DE FATURAMENTO E COBRANÇA</t>
  </si>
  <si>
    <t xml:space="preserve">MESA REDONDA DE ENERGIA DO BRASIL : GÁS E ENERGIA </t>
  </si>
  <si>
    <t>REUNIÃO COM AS DISTRIBUIDORAS DE GÁS DO NE</t>
  </si>
  <si>
    <t>MACEIÓ</t>
  </si>
  <si>
    <t>WORKSHOP GHP/ABS EVENTO PANASONIC</t>
  </si>
  <si>
    <t>JOAO ALFREDO DE MORAIS GUERRA</t>
  </si>
  <si>
    <t>000119</t>
  </si>
  <si>
    <t>SUPERVISOR DO SEGMENTO RESIDENCIAL</t>
  </si>
  <si>
    <t>GCVI</t>
  </si>
  <si>
    <t>EVALDO PINTO VIEIRA DE MELLO</t>
  </si>
  <si>
    <t>000317</t>
  </si>
  <si>
    <t>GERENTE DE COMERCIALIZAÇÃO VEICULAR E INDUSTRIAL</t>
  </si>
  <si>
    <t>MARCO ANTONIO ASSUMPCAO PINTO DE OLIVEIRA</t>
  </si>
  <si>
    <t>000071</t>
  </si>
  <si>
    <t>GETI</t>
  </si>
  <si>
    <t>HENRIQUE DE AGUIAR SA VILA NOVA JUNIOR</t>
  </si>
  <si>
    <t>000284</t>
  </si>
  <si>
    <t>GERENTE DE TECNOLOGIA DA INFORMAÇÃO</t>
  </si>
  <si>
    <t>ENCONTRO DO COMITÊ GESTOR E DE DESENVOLVIMENTO GGÁS</t>
  </si>
  <si>
    <t>PR</t>
  </si>
  <si>
    <t>CURITIBA</t>
  </si>
  <si>
    <t>FELIPE AUGUSTO MONTEIRO DE SOUZA</t>
  </si>
  <si>
    <t>000228</t>
  </si>
  <si>
    <t>ANALISTA DE SISTEMA</t>
  </si>
  <si>
    <t>PARTICIPAÇÃO FORUM REGULATÓRIO OIL&amp;GAS</t>
  </si>
  <si>
    <t>REUNIÃO ADV ANDRÉ SERRÃO</t>
  </si>
  <si>
    <t>JONATHAS MESQUITA DE ALMEIDA</t>
  </si>
  <si>
    <t>000063</t>
  </si>
  <si>
    <t>SUPERVISOR FISCAL</t>
  </si>
  <si>
    <t>REUNIÃO GT CONTABILIDADE ABEGAS</t>
  </si>
  <si>
    <t>MA</t>
  </si>
  <si>
    <t>SÃO LUÍS</t>
  </si>
  <si>
    <t>GERE - COORDENADORIA DE ENGENHARIA</t>
  </si>
  <si>
    <t>PARTICIPAÇÃO DO GT DE PADRONIZAÇÃO DE ESPECIFICAÇÕES TÉCNICAS DE MATERIAS E EQUIPAMENTOS</t>
  </si>
  <si>
    <t>PARTICIPAÇÃO PADRONIZAÇÃO PPU/CPU - 2° REUNIÃO</t>
  </si>
  <si>
    <t>CPLA - COORDENADORIA DE PLANEJ CORPORATIVO</t>
  </si>
  <si>
    <t>LUCAS GOMES COSTA</t>
  </si>
  <si>
    <t>0000320</t>
  </si>
  <si>
    <t>COORDENADOR DE PLANEJAMENTO CORPORATIVO</t>
  </si>
  <si>
    <t>CURSO PLANEJAMENTO FINANCEIRO E ORÇAMENTO EMPRESARIAL</t>
  </si>
  <si>
    <t>ASSEMBLEIA GERAL EXTRAORDINÁRIA ABEGÁS</t>
  </si>
  <si>
    <t>CJUR - COORDENADORIA JURIDICA</t>
  </si>
  <si>
    <t>VISITA ALGAS</t>
  </si>
  <si>
    <t>JOSE WALDIR FERRARI</t>
  </si>
  <si>
    <t>WORKSHOP SUPRIMENTO DE GAS</t>
  </si>
  <si>
    <t>DAF - DIRETOR ADMINISTRATIVO FINANCEIRO</t>
  </si>
  <si>
    <t>GCON - GERENCIA CONTABIL E FISCAL</t>
  </si>
  <si>
    <t>REUNIÃO DO GRUPO DE TRABALHO DE CONTABILIDADE DA ABEGÁS</t>
  </si>
  <si>
    <t>PRE - PRESIDÊNCIA</t>
  </si>
  <si>
    <t>QSMS - QUALIDADE, SEGURANÇA, MEIO AMB. E SAUD</t>
  </si>
  <si>
    <t>REUNIÃO ABEGÁS</t>
  </si>
  <si>
    <t>PRE - PRESIDENCIA</t>
  </si>
  <si>
    <t>ASSEMBLEIA ABEGÁS</t>
  </si>
  <si>
    <t>DTC - DIRETORIA TÉCNICO - COMERCIAL</t>
  </si>
  <si>
    <t>GCRC - GERENCIA DE COMERC. RESID/COMERCIAL</t>
  </si>
  <si>
    <t>EVENTO PROMOVIDO PELA BAHIAGÁS COM FOCO NO SEGMENTO RESIDÊNCIAL</t>
  </si>
  <si>
    <t>VALOR DA DIARIA PARCIAL E REFERENTE AO REEMBOLSO QUE O COLABORADOR TEVE  DIREITO NA HORA DA PRESTAÇÃO DE CONTA</t>
  </si>
  <si>
    <t>ANDERSON FRANCISCO DE LIMA ANDRADE</t>
  </si>
  <si>
    <t>000082</t>
  </si>
  <si>
    <t>GERENTE DE COMERCIALIZAÇÃO RESIDENCIAL E COMERCIAL</t>
  </si>
  <si>
    <t>GFIN - GERENCIA FINANCEIRA</t>
  </si>
  <si>
    <t>CNNE - COORDENADORIA DE NOVOS NEGOCIOS</t>
  </si>
  <si>
    <t>COMITE DE INOVAÇÃO ABEGÁS</t>
  </si>
  <si>
    <t xml:space="preserve">REUNIÃO NA BAHIAGÁS COM COPERGÁS E POTIGÁS </t>
  </si>
  <si>
    <t>REUNIÃO NO ESCRITÓRIO DE ADVOCACIA VEIRANO TRATAR  SOBRE PROCESSO GDK</t>
  </si>
  <si>
    <t xml:space="preserve">CURSO DE CONTABILIDADE </t>
  </si>
  <si>
    <t>CARMELO JOSE SOBRAL DELGADO</t>
  </si>
  <si>
    <t>000013</t>
  </si>
  <si>
    <t>COORDENADOR DE QSMS</t>
  </si>
  <si>
    <t>REPRESENTAR A COPERGÁS NO COMITÊ DE SMS DA ABEGAS</t>
  </si>
  <si>
    <t>3° REUNIÃO DE HARMONIZAÇÃO DOS DPR's ABEGÁS NORDESTE</t>
  </si>
  <si>
    <t>REUNIÃO ORDINÁRIA ASSOCIADOS ABEGAS</t>
  </si>
  <si>
    <t>00000</t>
  </si>
  <si>
    <t>DTC - DIRETORIA TECNICO - COMERCIAL</t>
  </si>
  <si>
    <t>SEMINÁRIO SISTEMA MULTICAMADAS E REUNIÃO COMITÊ DE INOVAÇÃO</t>
  </si>
  <si>
    <t>THALES JOSE DE GOES HOLANDA</t>
  </si>
  <si>
    <t>000083</t>
  </si>
  <si>
    <t xml:space="preserve"> ENGENHEIRO DE SUPORTE TÉCNICO</t>
  </si>
  <si>
    <t>PARTICIPAÇÃO NO EVENTO DO SEGMENTO RESIDENCIAL ORGANIZADO PELA BAHIAGÁS</t>
  </si>
  <si>
    <t>GCVI - GERENCIA DE COMERC. VEICULAR/INDUSTRIA</t>
  </si>
  <si>
    <t>PROSPEÇÃO COMERCIAL DO MUNICIPIO DE GARANHUNS INDUSTRIAL E VEICULAR</t>
  </si>
  <si>
    <t>GARANHUNS</t>
  </si>
  <si>
    <t>VIAGEM REALIZADA CO O CARRO DA FROTA (COPERGAS)</t>
  </si>
  <si>
    <t>ANTONIO CARLOS VERAS DE OLIVEIRA</t>
  </si>
  <si>
    <t>000153</t>
  </si>
  <si>
    <t>SUPERVISOR DO SEGMENTO COMERCIAL</t>
  </si>
  <si>
    <t>CLCO - COORDENADORIA DE CONTRATACAO E LICITAÇÃO</t>
  </si>
  <si>
    <t>HENRIQUE PAASHAUS ACIOLY DE MELO</t>
  </si>
  <si>
    <t>FÓRUM DE EQUALIZAÇÃO DE EDITAIS</t>
  </si>
  <si>
    <t xml:space="preserve"> COORDENADOR DE CONTRATAÇÃO E PLANEJAMENTO</t>
  </si>
  <si>
    <t>GETULIO ALVES DE MELO MENDONCA JUNIOR</t>
  </si>
  <si>
    <t>GESTOR DE OBRAS</t>
  </si>
  <si>
    <t>DAF - DIRETORIA ADMINISTRATIVO FINANCEIRO</t>
  </si>
  <si>
    <t>GETI - GERENCIA DE TECNOLOGIA DA INFORMACAO</t>
  </si>
  <si>
    <t xml:space="preserve">REUNIÃO DAS CDL's REFERENTE AO PROJETO GGÁS </t>
  </si>
  <si>
    <t>REUNIÃO DE CONTADORES DA ABEGAS</t>
  </si>
  <si>
    <t xml:space="preserve">SEMINÁRIO - 45 QUESTÕES POLÊMICAS SOBRE LICITAÇÕES E CONTRATOS DAS ESTATAIS </t>
  </si>
  <si>
    <t>SHEILA MAYANE BARBOSA DE SANTANA</t>
  </si>
  <si>
    <t>000157</t>
  </si>
  <si>
    <t>REUNIÃO NA VIEIRANO ADVOGADOS SOBRE DEMANDA REGULATÓRIA</t>
  </si>
  <si>
    <t>REUNIÃO COM OS PRESIDENTES E DIRETORES DAS DISTRIBUIDORAS DE GN DO NORDESTE</t>
  </si>
  <si>
    <t xml:space="preserve">CE </t>
  </si>
  <si>
    <t>JOAO EULINO DA SILVA NETO</t>
  </si>
  <si>
    <t>000236</t>
  </si>
  <si>
    <t>CONFERÊNCIA GARTNER SEGURANÇA E GESTÃO DE RISCO E VISITA AS EMPRESAS ECOGEN E TRENMICRO</t>
  </si>
  <si>
    <t>16/0818</t>
  </si>
  <si>
    <t xml:space="preserve">REUNIÃO TÉCNICA ZÊNITE </t>
  </si>
  <si>
    <t>GLOBAL OPERATION (GCVI/GCRC) E ÁREA OPERAÇÃO E MANUTENÇÃO</t>
  </si>
  <si>
    <t>GDIS - COORDENADORIA DE DISTRIBUICAO</t>
  </si>
  <si>
    <t>LUIZ FLAVIO BESERRA DE ARAUJO</t>
  </si>
  <si>
    <t>000181</t>
  </si>
  <si>
    <t xml:space="preserve">CURSO INSPEÇÃO DE TUBULAÇÕES E DUSTOS INDUSTRIAIS </t>
  </si>
  <si>
    <t xml:space="preserve">6º SEMINÁRIO DE GESTÃO DE DISTRIBUIÇÃO DE GÁS NATURAL </t>
  </si>
  <si>
    <t xml:space="preserve">GERENTE FINANCEIRA </t>
  </si>
  <si>
    <t>SUPERVISOR DE ORÇAMENTO E CONTAS A PAGAR</t>
  </si>
  <si>
    <t>GERH - GERENCIA DE RECURSOS HUMANOS</t>
  </si>
  <si>
    <t>JULIANE SOARES DE ALBUQUERQUE</t>
  </si>
  <si>
    <t>000061</t>
  </si>
  <si>
    <t>GERENTE DE RECURSOS HUMANOS</t>
  </si>
  <si>
    <t>JULIANA DE OLIVEIRA NERY</t>
  </si>
  <si>
    <t>000205</t>
  </si>
  <si>
    <t>SUPERVISORA DE CAPACITAÇÃO E DESENVOLVIMENTO DE EQUIPE</t>
  </si>
  <si>
    <t>REBEKA RODRIGUES LOBO</t>
  </si>
  <si>
    <t>000229</t>
  </si>
  <si>
    <t>SUPERVISORA DE TI</t>
  </si>
  <si>
    <t>COMUN - COMUNICACAO</t>
  </si>
  <si>
    <t>SILVANA MARIA VICTOR DE GODOY</t>
  </si>
  <si>
    <t>000299</t>
  </si>
  <si>
    <t>GESTORA DE COMUNICAÇÃO</t>
  </si>
  <si>
    <t>TREINAMENTO GESTÃO DE EVENTOS</t>
  </si>
  <si>
    <t>CCIN - COORDENADORIA DE CONTROLE INTERNO</t>
  </si>
  <si>
    <t>HUBERT HIRSCHLE FILHO</t>
  </si>
  <si>
    <t>000053</t>
  </si>
  <si>
    <t>COORDENADOR DE CONTROLE INTERNO</t>
  </si>
  <si>
    <t>CURSO GOVERNACE, RISK &amp; COMPLIACE</t>
  </si>
  <si>
    <t>TECNICO OPERACIONAL DE OPERAÇÕES</t>
  </si>
  <si>
    <t>TREINAMENTO DE PROTEÇÃO CONTRA DESCARGAS ATMOSFÉRICAS</t>
  </si>
  <si>
    <t>REUNIÃO ESCRITÓRIO DE ADVOCACIA E ASSEMBLEIA ABEGAS E RJ</t>
  </si>
  <si>
    <t xml:space="preserve">RJ </t>
  </si>
  <si>
    <t>REUNIÃO ESCRITÓRIO DE ADVOCACIA LEITE E TOSTO</t>
  </si>
  <si>
    <t>FABIO EDUARDO MORGADO</t>
  </si>
  <si>
    <t>000346</t>
  </si>
  <si>
    <t>GMAR - COORDENADORIA DE MED. E ANALISE DE RED</t>
  </si>
  <si>
    <t>RODRIGO DE BARROS SILVA</t>
  </si>
  <si>
    <t>000204</t>
  </si>
  <si>
    <t>GESTOR DE MEDIÇÃOE CONTROLE</t>
  </si>
  <si>
    <t xml:space="preserve">PARTICIPAÇÃO DA FEIRA RIO OIL AND GAS </t>
  </si>
  <si>
    <t>RAFAEL HENRIQUE TAVARES BEZERRA MENDES</t>
  </si>
  <si>
    <t>000087</t>
  </si>
  <si>
    <t>COORDENADOR DE MEDIÇÃO E ANALISE DE REDE</t>
  </si>
  <si>
    <t>NATALIA FRAZAO NASCIMENTO</t>
  </si>
  <si>
    <t>000226</t>
  </si>
  <si>
    <t>ENGENHEIRO DE OPERAÇÕES</t>
  </si>
  <si>
    <t xml:space="preserve">33° CONGRESSO BRASILEIRO DE MANUTENÇÃO E GESTÃO DE ATIVOS </t>
  </si>
  <si>
    <t>BH</t>
  </si>
  <si>
    <t>BELO HORIZONTE</t>
  </si>
  <si>
    <t>QSMS - QUALIDADE, SEGURANÇA, MEIO AMB. E SAUDE</t>
  </si>
  <si>
    <t>TECNICO QSMS</t>
  </si>
  <si>
    <t>TREINAMENTO SOBRE ELABORAÇÃO E ARTICULAÇÃO DE DOCUMENTOS TRABALHISTA</t>
  </si>
  <si>
    <t>RS</t>
  </si>
  <si>
    <t>PORTO ALEGRE</t>
  </si>
  <si>
    <t>COORDENADOR QSMS</t>
  </si>
  <si>
    <t>REUNIÃO COMITÊ DE SMS DA ABEGAS</t>
  </si>
  <si>
    <t>ASSITENTE DE DIRETORIA</t>
  </si>
  <si>
    <t xml:space="preserve">CURSO NEGOCIAÇÃO DE CONTRATOS DE COMPRA E VENDA </t>
  </si>
  <si>
    <t>WALTER SANTANA DE SOUZA FILHO</t>
  </si>
  <si>
    <t>000074</t>
  </si>
  <si>
    <t>CONGRESSO BRASILEIRO DE MANUTENÇÃO E GESTÃO DE ATIVOS</t>
  </si>
  <si>
    <t>ANALISTA DE SISTEMAS</t>
  </si>
  <si>
    <t>WORKSHOP DE GESTÃO DE ATIVOS</t>
  </si>
  <si>
    <t>CLEBSON CAMPELO DA SILVA</t>
  </si>
  <si>
    <t>000128</t>
  </si>
  <si>
    <t>ENGENHEIRO DE SUPORTE TECNICO</t>
  </si>
  <si>
    <t>TESTE DE ACEITAÇÃO DE FABRICA</t>
  </si>
  <si>
    <t>ORLANDO FERNANDO DA SILVA FILHO</t>
  </si>
  <si>
    <t>000069</t>
  </si>
  <si>
    <t>TECNICO OPERACIONAL DE MEDIAÇÃO E AUTOMAÇÃO</t>
  </si>
  <si>
    <t>REUNIÃO ABEGAS</t>
  </si>
  <si>
    <t>EVENTO PREMIAÇÃO - EPOCA NEGOCIOS 360°</t>
  </si>
  <si>
    <t>GERENTE DE CONTABILIDADE E FSICAL</t>
  </si>
  <si>
    <t xml:space="preserve">WORKSHOP DE GESTÃO DE ATIVOS PATRIMONIAS </t>
  </si>
  <si>
    <t>COORDENADOR DE NOVOS NEGÓCIOS</t>
  </si>
  <si>
    <t>PARTICIPAÇÃO COMITE DE INOVAÇÃO ABEGÁS E SEMINÁRIO MULTICAMADA</t>
  </si>
  <si>
    <t>000320</t>
  </si>
  <si>
    <t>TERINAMENTO BSC</t>
  </si>
  <si>
    <t>TREINAMENTO SOFTWARE DE ESCOAMENTO HIDRÁULICO</t>
  </si>
  <si>
    <t>SEGE - COORDENADORIA DA SECRETARIA GERAL</t>
  </si>
  <si>
    <t>ANA CRISTINA DA SILVA SANTOS</t>
  </si>
  <si>
    <t>000023</t>
  </si>
  <si>
    <t>COORDENADORA DE SECRETARIA GERL</t>
  </si>
  <si>
    <t>CURSO DE SECRETARIA DE GOVERNANÇA CORPORATIVA</t>
  </si>
  <si>
    <t>DAF - DIRETORIA ADMINISTRATIVO FINANCEIRA</t>
  </si>
  <si>
    <t xml:space="preserve">REUNIÃO DO GRUPO DE TRABALHO DE CONTADORES DA ABEGAS </t>
  </si>
  <si>
    <t>RN</t>
  </si>
  <si>
    <t>NATAL</t>
  </si>
  <si>
    <t>ADRIANO VIEIRA BRANDAO</t>
  </si>
  <si>
    <t>000244</t>
  </si>
  <si>
    <t>CURSO DE PROTEÇÃO CATÓDICA</t>
  </si>
  <si>
    <t>AFRANIO BARBOSA DE ALMEIDA E SILVA</t>
  </si>
  <si>
    <t>000130</t>
  </si>
  <si>
    <t>ENGENHEIRO OPERACIONAL</t>
  </si>
  <si>
    <t>SEMINARIO INTERNACIONAL MOBILIDADE A GAS NATURAL</t>
  </si>
  <si>
    <t>APRESENTAÇÃO ORÇAMENTO MITSUI E GASPETRO</t>
  </si>
  <si>
    <t>BRUNO CARVALHO DE SOUSA</t>
  </si>
  <si>
    <t>000065</t>
  </si>
  <si>
    <t>SUPERVISOR DO SEGMENTO VEICULAR</t>
  </si>
  <si>
    <t>REUNIÃO ANÁLISE CRITICA DE INVESTIMENTO E DE MERCADO</t>
  </si>
  <si>
    <t>ROBERTO COBO ZANELLA</t>
  </si>
  <si>
    <t>000347</t>
  </si>
  <si>
    <t>ASSEMBLÉIA ABGÁS</t>
  </si>
  <si>
    <t>PROSPECÇÃO MUNICÍPIO PETROLINA</t>
  </si>
  <si>
    <t>PETROLINA</t>
  </si>
  <si>
    <t>REUNIÃO ESCRITÓRIO LEITE E TOSTO SP SOBRE O PROCESSO DE ARBITRAGEM COPERGAS X PETROBRÁS</t>
  </si>
  <si>
    <t>REUNIÃO PETROBRAS CDGN MERCURIO PARTNERS</t>
  </si>
  <si>
    <t>REUNIÃO CÔMITE GGAS</t>
  </si>
  <si>
    <t>REUNIÃO BAHIAGAS</t>
  </si>
  <si>
    <t>GADS - GERENCIA DE ADMINISTRACAO E SUPRIMENTO</t>
  </si>
  <si>
    <t>SUPERVISOR  DE COMPRA E ADM DE ESTOQUES</t>
  </si>
  <si>
    <t>VISITA A SC BENCHMARKIMG</t>
  </si>
  <si>
    <t>SUPERVISOR ADMINISTRATIVO</t>
  </si>
  <si>
    <t xml:space="preserve">CLCO - COORDENADORIA DE CONTRATACAO E LICITA </t>
  </si>
  <si>
    <t>EDUARDO REIS DA SILVA</t>
  </si>
  <si>
    <t>000349</t>
  </si>
  <si>
    <t>SUPERVISOR JURIDICO</t>
  </si>
  <si>
    <t>DIEGO LIMA CAMARA DE ALBUQUERQUE</t>
  </si>
  <si>
    <t>000345</t>
  </si>
  <si>
    <t>GESTOR DE PLANEJAMENTO E CONTROLE DE CONTRATOS</t>
  </si>
  <si>
    <t>REUNIÃO ABEGAS E GASPETRO</t>
  </si>
  <si>
    <t>EVENTO ABEGAS</t>
  </si>
  <si>
    <t>SE</t>
  </si>
  <si>
    <t>ARACAJU</t>
  </si>
  <si>
    <t>GERENTE FINANCEIRA</t>
  </si>
  <si>
    <t>ANDRE WILSON DE QUEIROZ CAMPOS</t>
  </si>
  <si>
    <t>AMCHAM/MISSÃO CAMPINAS</t>
  </si>
  <si>
    <t>CAMPINAS</t>
  </si>
  <si>
    <t>EVENTO ABEGÁS</t>
  </si>
  <si>
    <t>EVENTO DELOITTE</t>
  </si>
  <si>
    <t>CURSO CONTRATO DE GÁS NATURAL</t>
  </si>
  <si>
    <t>SEMINÁRIO NOVO MERCADO DE GÁS NATURAL/ABEGÁS</t>
  </si>
  <si>
    <t>SEMINÁRIO NACIONAL FISCALIZAÇÃO E GERENCIAMENTO DOS CONTRATOS DE OBRAS PÚBLICAS</t>
  </si>
  <si>
    <t>AUDIÊNCIA ANP</t>
  </si>
  <si>
    <t>10/042019</t>
  </si>
  <si>
    <t>PROGRAMA DE GESTÃO DE LIDERANÇA AVANÇADA</t>
  </si>
  <si>
    <t>PARTICIPAÇÃO REUNIÃO NOVIX</t>
  </si>
  <si>
    <t>DF</t>
  </si>
  <si>
    <t>BRASILIA</t>
  </si>
  <si>
    <t>2° ENCONTROS DAS ESTATAIS</t>
  </si>
  <si>
    <t>BRASÍLIA</t>
  </si>
  <si>
    <t>ANALISTA FINANCEIRA</t>
  </si>
  <si>
    <t>CURSO DE ANÁLISE DE CENÁRIOS</t>
  </si>
  <si>
    <t>REUNIÃO RAC - INVESTIMENTO E MERCADO</t>
  </si>
  <si>
    <t>REUNIÃO DE AUDITORIA DE SMS NA SERGÁS</t>
  </si>
  <si>
    <t>24/0519</t>
  </si>
  <si>
    <t>TARCISIO DIAS DE ARAUJO</t>
  </si>
  <si>
    <t>000264</t>
  </si>
  <si>
    <t>TÉCNICO OPERCIONAL DE CONVERSÃO E SUPORTE TÉCNICO</t>
  </si>
  <si>
    <t>CURSO ENTENDENDO O MERCADO DE GNV - ABEGÁS</t>
  </si>
  <si>
    <t>PARTICIPAÇÃO WORKSHOP</t>
  </si>
  <si>
    <t>REUNIÃO GAPETRO E SCGÁS</t>
  </si>
  <si>
    <t>HERNANI LIMA DE QUEIROZ</t>
  </si>
  <si>
    <t>000338</t>
  </si>
  <si>
    <t xml:space="preserve">ANALISTA DE CONTROLE INTERNO </t>
  </si>
  <si>
    <t xml:space="preserve">CURSO DE GESTÃO DE RISCO OPERACIONAL </t>
  </si>
  <si>
    <t>MILENA MACHADO SANTA CRUZ</t>
  </si>
  <si>
    <t>000325</t>
  </si>
  <si>
    <t>REUNIÃO DO CÔMITE DE INTEGRIDADE DE ATIVOS ABEGÁS</t>
  </si>
  <si>
    <t>REUNIÃO DO CÔMITE GESTOR DO GGAS NA BAHIAGÁS</t>
  </si>
  <si>
    <t>EVENTO FIEPE E VISITA A CLIENTES</t>
  </si>
  <si>
    <t>PEDRO LIMA COELHO</t>
  </si>
  <si>
    <t>CURSO PLANEJAMENTO FINANCEIRO</t>
  </si>
  <si>
    <t>CAE - COMITÊ DE AUDITORIA ESTATUTÁRIO</t>
  </si>
  <si>
    <t>JOAO BATISTA DE MORAES GUERRA</t>
  </si>
  <si>
    <t>REUNIÃO COMITÊ DE PRÁTICAS CONTÁBEIS E TRIBUTÁRIAS</t>
  </si>
  <si>
    <t>TERMELÉTRICA</t>
  </si>
  <si>
    <t>REUNIÃO ABEGÁS E GOLAR</t>
  </si>
  <si>
    <t>CURSO ATMOSFERA EXPLOSIVA: CLASSIFICAÇÃO DE ÁREAS CICLOS DE VIDA DAS INSTALAÇÕES</t>
  </si>
  <si>
    <t>HUGO LEONARDO ARAUJO DA CRUZ DINIZ</t>
  </si>
  <si>
    <t>JOSINALDO FERNANDES DA SILVA</t>
  </si>
  <si>
    <t>LEONARDO CHAVES SANTOS</t>
  </si>
  <si>
    <t>GIOVANNI CAMPOS AMARAL</t>
  </si>
  <si>
    <t>000336</t>
  </si>
  <si>
    <t xml:space="preserve">CONGRESSO BRASILEIRO DE REGULAÇÃO </t>
  </si>
  <si>
    <t>CLCO - COORDENADORIA DE CONTRATACAO E LICITAÇ</t>
  </si>
  <si>
    <t>CURSO COMO PLANEJAR , JULGAR E FISCALIZAR A EXECUÇÃO DE OBRAS E SERVIÇOS DE ENGENHARIA</t>
  </si>
  <si>
    <t>BR</t>
  </si>
  <si>
    <t>REUNIÃO DO COMITÊ DE SMS DA ABEGAS</t>
  </si>
  <si>
    <t>LEONARDO GUIMARAES BRITO</t>
  </si>
  <si>
    <t>000358</t>
  </si>
  <si>
    <t>GERENTE ADM E SUPRIMENTO</t>
  </si>
  <si>
    <t>BENCHMARKING  COPERGAS</t>
  </si>
  <si>
    <t>WORKSHOP GESTÃO DE ATIVOS PATRIMONIAS</t>
  </si>
  <si>
    <t>WORKSHOP GESTÃO DE ATIVOS PATRIMONIAS/FORUM DE CONTABILIDADE</t>
  </si>
  <si>
    <t>FORUM DE CONTABILIDADE</t>
  </si>
  <si>
    <t>JOSE LUCIMARIO FERREIRA GONCALVES</t>
  </si>
  <si>
    <t>000282</t>
  </si>
  <si>
    <t>ANALISTA CONTADOR</t>
  </si>
  <si>
    <t>BENCHMARKING  BAHIAGÁS</t>
  </si>
  <si>
    <t>EVELLYN MARIA RAINHA PERDIGAO GOMES</t>
  </si>
  <si>
    <t>SUPERVISORA DE ORÇAMENTO E CONTAS A PAGAR</t>
  </si>
  <si>
    <t>MERCADO DE GÁS, PETRÓLEO FORÚM PLATTS</t>
  </si>
  <si>
    <t>LUIZ FELIPE CARVALHO ARARUNA</t>
  </si>
  <si>
    <t>000330</t>
  </si>
  <si>
    <t>FÓRUM MITSUI RH</t>
  </si>
  <si>
    <t>JULIANA DE OLIVEIRA NERY COUTINHO</t>
  </si>
  <si>
    <t>SUPERVISORA CAPACITAÇÃO E DESEMPENHO DE EQUIPE</t>
  </si>
  <si>
    <t>REUNIÃO ÁBEGAS</t>
  </si>
  <si>
    <t>FABRICIO BOMTEMPO DE OLIVEIRA</t>
  </si>
  <si>
    <t>WORKSHOP NA ANP</t>
  </si>
  <si>
    <t>ANALISTA ADMINISTRADOR</t>
  </si>
  <si>
    <t>ENCONTRO DE AUDITORES INTERNOS DAS COMPANHIAS DISTRIBUIDORAS</t>
  </si>
  <si>
    <t>DAVID DE MIRANDA ARAGAO</t>
  </si>
  <si>
    <t>000287</t>
  </si>
  <si>
    <t>CURSO MAPEAMENTO DE PROCESSOS, MELHORIA E CONTEXTO DA ORGANIZAÇÃO  ISSO</t>
  </si>
  <si>
    <t>ENGENHEIRO MECANICO</t>
  </si>
  <si>
    <t>TESTE DE ACEITAÇÃO EM FÁBRICA (TAF)</t>
  </si>
  <si>
    <t>REUNIÃO CONTRATO SUPRIMENTOS</t>
  </si>
  <si>
    <t>REUNIÃO DO COMITÊ DE INTEGRIDADE - ABEGÁS</t>
  </si>
  <si>
    <t xml:space="preserve">GERENTE COMERCIAL E RESIDENCIAL </t>
  </si>
  <si>
    <t>WORKSHOP PROCESSO  COMERCIAL NA POTIGÁS</t>
  </si>
  <si>
    <t>TECNICO OPERACIONAL SEGURANÇA DO TRABALHO</t>
  </si>
  <si>
    <t>WORKSHOP GESTÃO + ERGONOMIA +GESTÃO DE RISCOS ERGONÔMICOS</t>
  </si>
  <si>
    <t>SUPERVISORA JURIDICA</t>
  </si>
  <si>
    <t>CURSO DA ZENITE</t>
  </si>
  <si>
    <t>COMITE GESTOR GÁS</t>
  </si>
  <si>
    <t>MT</t>
  </si>
  <si>
    <t>CAMPO GRANDE</t>
  </si>
  <si>
    <t>SUPERVISOR DE COMPRAS ADM E DE ESTOQUES</t>
  </si>
  <si>
    <t>ENCONTRO DO GT DE COMPRAS DAS CIA DE GÁS DO NORDESTE</t>
  </si>
  <si>
    <t>CURSO INTELIGÊNCIA COMPETITIVAS</t>
  </si>
  <si>
    <t>WORKSHOP CHAMADA PÚBLICA</t>
  </si>
  <si>
    <t>WORKSHOP GASPETRO</t>
  </si>
  <si>
    <t>CURSO COMISSIONADO E PARTIDA DE PLANTAS INDUSTRIAS</t>
  </si>
  <si>
    <t xml:space="preserve">DTC - DIRETORIA TECNICO - COMERCIAL
</t>
  </si>
  <si>
    <t xml:space="preserve">SUPERVISOR DO SEGMENTO VEICULAR </t>
  </si>
  <si>
    <t>SEGUNDO SEMINÁRIO INTERNACIONAL: MOBILIDADE A GÁS NATURAL</t>
  </si>
  <si>
    <t>TÉCNICO OPERACIONAL DE CONVERSÃO E SUPORTE TÉCNICO</t>
  </si>
  <si>
    <t xml:space="preserve">RENATA BARBOSA DAMASIO
</t>
  </si>
  <si>
    <t>000127</t>
  </si>
  <si>
    <t>ENGENHEIRA DE OPERAÇÕES</t>
  </si>
  <si>
    <t>REPRESENTAÇÃO CEGÁS</t>
  </si>
  <si>
    <t xml:space="preserve">GCRC - GERENCIA DE COMERC. RESID/COMERCIAL
</t>
  </si>
  <si>
    <t>ADRIANA DOS ANJOS DE OLIVEIRA GOMES</t>
  </si>
  <si>
    <t>000315</t>
  </si>
  <si>
    <t>ANALISTA DE MERCADO</t>
  </si>
  <si>
    <t xml:space="preserve">FABRICIO BOMTEMPO DE OLIVEIRA
</t>
  </si>
  <si>
    <t xml:space="preserve">FABIO EDUARDO MORGADO
</t>
  </si>
  <si>
    <t xml:space="preserve">MARCOS ELIAS DOMINGOS DA SILVA
</t>
  </si>
  <si>
    <t>000263</t>
  </si>
  <si>
    <t>CURSO LNT</t>
  </si>
  <si>
    <t>FERNANDO GOMES DE ARRUDA JUNIOR</t>
  </si>
  <si>
    <t>000217</t>
  </si>
  <si>
    <t>TÉCNICO DE EDIFICAÇÕES</t>
  </si>
  <si>
    <t>REUNIÃO SMS DA ABEGÁS</t>
  </si>
  <si>
    <t xml:space="preserve">TESTE DE ACEITAÇÃO </t>
  </si>
  <si>
    <t>WORKSHOP CONTRATO DE SUPRIMENTO</t>
  </si>
  <si>
    <t>TÉCNICO OPERACIONAL</t>
  </si>
  <si>
    <t>COMITÊ DE INTEGRIDADE DE ATIVOS</t>
  </si>
  <si>
    <t>EVENTO GESTÃO ESTRATÉGICA DE DEPARTAMENTO JURÍDICO</t>
  </si>
  <si>
    <t>LEVANTAMENTO DO PROJETO BOLSÃO PETROLINA</t>
  </si>
  <si>
    <t>SERGIO GUTTENBERG LEITE DA CRUZ</t>
  </si>
  <si>
    <t>000159</t>
  </si>
  <si>
    <t>SUPERVISOR DE GEOPROCESSAMENTO</t>
  </si>
  <si>
    <t>REUNIÃO CÔMITE GESTOR GGÁS</t>
  </si>
  <si>
    <t>REUNIÃO PREFEITURA DE PETROLINA</t>
  </si>
  <si>
    <t>ASSINST - ASSESSORIA INSTITUCIONAL</t>
  </si>
  <si>
    <t>ENNIO LINS BENNING</t>
  </si>
  <si>
    <t>000353</t>
  </si>
  <si>
    <t>ASSESSOR INSTITUCIONAL</t>
  </si>
  <si>
    <t>DEFESA ORÇAMENTO 2020 MITSUI</t>
  </si>
  <si>
    <t>FELLIPE FREIRE CIRILO PASSOS</t>
  </si>
  <si>
    <t>000305</t>
  </si>
  <si>
    <t>GESTOR GGAS</t>
  </si>
  <si>
    <t>REUNIÃO COM A NEOENERGIA</t>
  </si>
  <si>
    <t>00236</t>
  </si>
  <si>
    <t>TREINAMENTO</t>
  </si>
  <si>
    <t>FÓRUM SERGIPANO DE ÓLEO E GÁS</t>
  </si>
  <si>
    <t>TREINAMENTO ABNT</t>
  </si>
  <si>
    <t>TAF DE ESTAÇÕES</t>
  </si>
  <si>
    <t xml:space="preserve"> TESTE DE ACEITAÇÃO EM FÁBRICA</t>
  </si>
  <si>
    <t>REUNIÃO CLIENTES</t>
  </si>
  <si>
    <t>ENCONTRO ABEGAS</t>
  </si>
  <si>
    <t>ANDRÉ WILSON DE QUEIROZ CAMPOS</t>
  </si>
  <si>
    <t>PRESIDENTE</t>
  </si>
  <si>
    <t>Reunião Abegás</t>
  </si>
  <si>
    <t>JOÃO BATISTA DE MORAES GUERRA</t>
  </si>
  <si>
    <t>MEMBRO</t>
  </si>
  <si>
    <t>CJUR - COORDENADORIA JURÍDICA</t>
  </si>
  <si>
    <t>Treinamento</t>
  </si>
  <si>
    <t>FABRÍCIO BOMTEMPO DE OLIVEIRA</t>
  </si>
  <si>
    <t>Reunião Petrobrás</t>
  </si>
  <si>
    <t xml:space="preserve">RIO DE JANEIRO </t>
  </si>
  <si>
    <t>FÁBIO EDUARDO MORGADO</t>
  </si>
  <si>
    <t>00296</t>
  </si>
  <si>
    <t>VISITA IMÓVEIS PARA FUTURO ESCRITÓRIO COPERGAS</t>
  </si>
  <si>
    <t>REUNIÃO COM FUTUROS CLIENTES</t>
  </si>
  <si>
    <t>VISITA TÉCNICA PARA LICITAÇÃO</t>
  </si>
  <si>
    <t>FERNANDO FRAGUEIRO ALMOFREY</t>
  </si>
  <si>
    <t>Supervisor do Segmento Comercial</t>
  </si>
  <si>
    <t>LEVANTAMENTO DE VGB'S DOS CLIENTES RESIDENCIAIS E COMERCIAIS</t>
  </si>
  <si>
    <t>LUIZ GONCALVES DA FONSECA NETO</t>
  </si>
  <si>
    <t>Técnico Operacional de Conversão e Suporte Técnico</t>
  </si>
  <si>
    <t>Supervisor do Segmento Veicular</t>
  </si>
  <si>
    <t>PROSPECÇÃO DE CLIENTES GNV</t>
  </si>
  <si>
    <t>SALGUEIRO</t>
  </si>
  <si>
    <t>Supervisor de Obras</t>
  </si>
  <si>
    <t>FISCALIZAÇÃO DE OBRAS</t>
  </si>
  <si>
    <t>DANILO ANTONIO PEREIRA DE MORAIS</t>
  </si>
  <si>
    <t>COODERNADOR DE QSMS</t>
  </si>
  <si>
    <t>PARA ACOMPANHAR CANTEIRO DE OBRAS DA CONTRATADA RR EM PETROLINA</t>
  </si>
  <si>
    <t>TÉCNICO OPERACIONAL DE QSMS</t>
  </si>
  <si>
    <t>TULIO HUGO COSTA VIANNA</t>
  </si>
  <si>
    <t>TÉCNICO DE QSMS</t>
  </si>
  <si>
    <t>REUNIÃO NIAGRO</t>
  </si>
  <si>
    <t>GESTOR DE OBRA</t>
  </si>
  <si>
    <t>VISITA DE OBRA</t>
  </si>
  <si>
    <t>PRE - PRESIDENTE</t>
  </si>
  <si>
    <t>REUNIÃO COM A GOULAR POWER.</t>
  </si>
  <si>
    <t>VISITA OBRA EM PETROLINA</t>
  </si>
  <si>
    <t xml:space="preserve">PE </t>
  </si>
  <si>
    <t>SUPERVISOR DE OBRAS</t>
  </si>
  <si>
    <t>INSPEÇÃO DE OBRA</t>
  </si>
  <si>
    <t>VISITA TECNICA COM A EMPRESA GYPSUM</t>
  </si>
  <si>
    <t>COMISSIONAMENTO ESTAÇÃO ETCPETROLINA E GYPSUM</t>
  </si>
  <si>
    <t>TÉCNICO OPERACIONAL DE MEDIÇÃO E AUTOMAÇÃO</t>
  </si>
  <si>
    <t>GNR Fortaleza</t>
  </si>
  <si>
    <t>FISCALIZAÇÃO PROJETO PETROLINA</t>
  </si>
  <si>
    <t>Viagem para fiscalização das obras em Petrolina</t>
  </si>
  <si>
    <t>PRE COMISSIONAMENTO RDGN PETROLINA</t>
  </si>
  <si>
    <t>INAUGURAÇÃO REDE LOCAL EM PETROLINA.</t>
  </si>
  <si>
    <t>COORDENADORA SECRETARIA GERAL</t>
  </si>
  <si>
    <t>COORDENADOR JURIDICO</t>
  </si>
  <si>
    <t>TÉCNICO OPERACIONAL DE CONVERSÃO E SUPORTE</t>
  </si>
  <si>
    <t>VILMA OLIVEIRA DE ALBUQUERQUE</t>
  </si>
  <si>
    <t>CARLOS EDUARDO ALBUQUERQUE DOS SANTOS</t>
  </si>
  <si>
    <t>GERENTE DE COMERCIALIZAÇÃO VEICULAR E UNDUSTRIAL</t>
  </si>
  <si>
    <t>VANDECK SOUZA SANTIAGO</t>
  </si>
  <si>
    <t>SUPERVISOR DE DIVULGAÇÃO</t>
  </si>
  <si>
    <t>NADJA ADRIANE BELTRAO VIEIRA BOMPASTOR</t>
  </si>
  <si>
    <t>SECRETARIA EXECUTIVA</t>
  </si>
  <si>
    <t>SUPORTE A OBRA BASE PETROLINA</t>
  </si>
  <si>
    <t>WILSON MALINI RIBEIRO</t>
  </si>
  <si>
    <t>PROSPECÇÃO DE CLIENTES</t>
  </si>
  <si>
    <t>HUGO RAFAEL DE MELO SILVEIRA</t>
  </si>
  <si>
    <t>JOSE OLIVEIRA SANTOS JUNIOR</t>
  </si>
  <si>
    <t>GESTOR DE OPERAÇÕES</t>
  </si>
  <si>
    <t>TECNICO OPERACIONAL DE MEDIÇÃO E AUTOMAÇÃO</t>
  </si>
  <si>
    <t xml:space="preserve">SOLICITAÇÃO GERADA POIS COLABORADOR NECESSITA FICAR MAIS UM DIA EM PETROLINA. </t>
  </si>
  <si>
    <t xml:space="preserve">Benchmarking a posto GNL </t>
  </si>
  <si>
    <t>VITÓRIA DA CONQUISTA</t>
  </si>
  <si>
    <t>346</t>
  </si>
  <si>
    <t>Benchmarking a posto GNL</t>
  </si>
  <si>
    <t>FISCALIZAÇÃO DE OBRAS DA COPERGÁS EM PETROLINA</t>
  </si>
  <si>
    <t xml:space="preserve">ACOMPANHAMENTO DAS OBRAS DE EXPANSÃO </t>
  </si>
  <si>
    <t>EVENTO PETROLINA</t>
  </si>
  <si>
    <t>Acompanhar os preparativos para inauguração do Posto Distrito, visitas às convertedoras, centros automotivos homologados, inspecionadoras/certificadoras do INMETRO</t>
  </si>
  <si>
    <t>INAUGURAÇÃO POSTO GNV PETROLINA</t>
  </si>
  <si>
    <t>RAFAEL GERSON DE LUNA ALVES</t>
  </si>
  <si>
    <t>SUBSTITUIÇÃO DE FÉRIAS DO TECNICO DE PETROLINA</t>
  </si>
  <si>
    <t>RETORNO PARA RECIFE EM FUNÇÃO DE FÉRIAS</t>
  </si>
  <si>
    <t>Reunião SEINFRA Petrolina</t>
  </si>
  <si>
    <t>Projeto Petrolina - Acompanhamento de obra + visita prefeitura</t>
  </si>
  <si>
    <t>SUBSTITUIÇÃO DE FÉRIAS DO TECNICO OPERACIONAL DE PETROLINA</t>
  </si>
  <si>
    <t>JONAS RAMOS DOS SANTOS</t>
  </si>
  <si>
    <t>SUBSTITUIÇÃO DE FÉRIAS</t>
  </si>
  <si>
    <t xml:space="preserve">INAUGURAÇÃO REDE LOCAL - GARANHUNS </t>
  </si>
  <si>
    <t>TÉCNICO OPERACIONAL DE SEGURANÇA DE TRABALHO</t>
  </si>
  <si>
    <t>GESTOR PLANEJAMENTO E CONTRATO</t>
  </si>
  <si>
    <t>ELIAS AMARAL CORREIA</t>
  </si>
  <si>
    <t>SUPERVISOR DE PROCESSO DE QUALIDADE</t>
  </si>
  <si>
    <t>GESTOR DE PROJETO</t>
  </si>
  <si>
    <t>GERENTE DE ADMINISTRAÇÃO E SUPRIMENTO</t>
  </si>
  <si>
    <t>COORDENADO MEDIÇÃO E ANALISE DE REDE</t>
  </si>
  <si>
    <t>GESTOR DE MEDIÇÃO E CONTROLE</t>
  </si>
  <si>
    <t>THIAGO HERMOGENES DE CASTRO</t>
  </si>
  <si>
    <t>1º REUNIÃO DO GT BIOMETANO</t>
  </si>
  <si>
    <t xml:space="preserve">Participação na 24ª Assembleia de associados, Jantar e Visita Técnica - 12 e 13 de Maio - São Paulo </t>
  </si>
  <si>
    <t>VIAGEM PARA TENTATIVA DE LIBERAÇÃO DA OBRA NA PREFEITURA DE PETROLINA.</t>
  </si>
  <si>
    <t>REUNIÃO ABEGÁS - 12 e 13/05/2022</t>
  </si>
  <si>
    <t>COMITÊ DE AUDITORIA ESTATUTARIA</t>
  </si>
  <si>
    <t>SEMINÁRIO TÉCNICO ABIOGÁS 2022</t>
  </si>
  <si>
    <t>WORKSHOP TECNICO COMERCIAL DAS DISTRIBUIDORAS DE GÁS</t>
  </si>
  <si>
    <t>ES</t>
  </si>
  <si>
    <t>VITÓRIA</t>
  </si>
  <si>
    <t>SUPERVISORA</t>
  </si>
  <si>
    <t>TREINAMENTO - SINDICÂNCIA E PROCESSO ADMINISTRATIVO</t>
  </si>
  <si>
    <t>REUNIÃO DAS DISTRIBUIDORAS DO NE</t>
  </si>
  <si>
    <t>PARTICPAÇÃO GÁS &amp; ENERGY WEEK</t>
  </si>
  <si>
    <t>VIAGEM PARA SUBSTITUIÇÃO POR FÉRIAS DO TÉCNICO OPERACIONAL PETROLINA</t>
  </si>
  <si>
    <t>3º SEMINÁRIO DAS ESTATAIS</t>
  </si>
  <si>
    <t>FOZ DO IGUAÇU</t>
  </si>
  <si>
    <t>Gerente de Administração e Suprimentos</t>
  </si>
  <si>
    <t xml:space="preserve">37º congresso brasileiro </t>
  </si>
  <si>
    <t>Engenheira de Operações</t>
  </si>
  <si>
    <t>Gerente de Comercialização Veicular e Industrial</t>
  </si>
  <si>
    <t>Participação de Congresso</t>
  </si>
  <si>
    <t>JACINTO JUNIOR DE SOUSA</t>
  </si>
  <si>
    <t>Assistente de Diretoria</t>
  </si>
  <si>
    <t xml:space="preserve">Evento OIL &amp; GÁS </t>
  </si>
  <si>
    <t>VISITA CEGÁS</t>
  </si>
  <si>
    <t>COORDENADO DE DISTRIBUIÇÃO</t>
  </si>
  <si>
    <t>100° ASSEMBLEIA GERAL DE ASSOCIADOS DA ABEGÁS</t>
  </si>
  <si>
    <t>5° ENCONTRO NACIONAL DAS ESTATAIS</t>
  </si>
  <si>
    <t>REUNIÃO DE APRESENTAÇÃO DO PLANO DE NEGÓCIO 2023-2028 PARA OS ACIONISTAS</t>
  </si>
  <si>
    <t>REUNIÃO COM A PREFEITURA DE PETROLINA SOBRE PROJETO EXPANSÃO COPERGAS</t>
  </si>
  <si>
    <t>REUNIÃO SMS - COMMIT</t>
  </si>
  <si>
    <t>SUPERVISOR DO SEGMENTO COMERCIAL E RESIDENCIAL</t>
  </si>
  <si>
    <t>CURSO NR20</t>
  </si>
  <si>
    <t>9º FORUM DE BIOGÁS - SP</t>
  </si>
  <si>
    <t>NÃO HOUVE VIAGEM EM JANEIRO/2023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</si>
</sst>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&quot;R$&quot;\ * #,##0.00_-;\-&quot;R$&quot;\ * #,##0.00_-;_-&quot;R$&quot;\ * &quot;-&quot;??_-;_-@_-"/>
    <numFmt numFmtId="165" formatCode="[$R$]#,##0.00"/>
    <numFmt numFmtId="166" formatCode="mmm/yyyy"/>
    <numFmt numFmtId="167" formatCode="[$R$-416]&quot; &quot;#,##0.00;[Red]&quot;-&quot;[$R$-416]&quot; &quot;#,##0.00"/>
    <numFmt numFmtId="168" formatCode="[$R$-416]\ #,##0.00"/>
    <numFmt numFmtId="169" formatCode="&quot;R$&quot;\ #,##0.00"/>
    <numFmt numFmtId="170" formatCode="_-[$R$-416]\ * #,##0.00_-;\-[$R$-416]\ * #,##0.00_-;_-[$R$-416]\ * &quot;-&quot;??_-;_-@_-"/>
  </numFmts>
  <fonts count="16"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8"/>
      <color rgb="FF000000"/>
      <name val="Arial"/>
      <family val="2"/>
    </font>
    <font>
      <sz val="11"/>
      <color rgb="FF000000"/>
      <name val="Cambria"/>
      <family val="1"/>
    </font>
    <font>
      <b/>
      <sz val="11"/>
      <color rgb="FF000000"/>
      <name val="Arial"/>
      <family val="2"/>
    </font>
    <font>
      <sz val="11"/>
      <color rgb="FF000000"/>
      <name val="Calibri"/>
      <family val="2"/>
    </font>
    <font>
      <sz val="36"/>
      <color rgb="FF000000"/>
      <name val="Cambria"/>
      <family val="1"/>
    </font>
    <font>
      <sz val="10"/>
      <color rgb="FF000000"/>
      <name val="Calibri"/>
      <family val="2"/>
    </font>
    <font>
      <sz val="10"/>
      <color rgb="FF000000"/>
      <name val="Cambria"/>
      <family val="1"/>
    </font>
    <font>
      <sz val="10"/>
      <color rgb="FF000000"/>
      <name val="Arial"/>
      <family val="2"/>
    </font>
    <font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B7E1CD"/>
        <bgColor rgb="FFB7E1CD"/>
      </patternFill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rgb="FFDDDDDD"/>
        <bgColor rgb="FFDDDDDD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DDDDD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2" borderId="0" applyNumberFormat="0" applyFont="0" applyBorder="0" applyProtection="0"/>
    <xf numFmtId="0" fontId="5" fillId="0" borderId="0" applyNumberFormat="0" applyBorder="0" applyProtection="0">
      <alignment horizontal="center"/>
    </xf>
    <xf numFmtId="0" fontId="5" fillId="0" borderId="0" applyNumberFormat="0" applyBorder="0" applyProtection="0">
      <alignment horizontal="center" textRotation="90"/>
    </xf>
    <xf numFmtId="0" fontId="6" fillId="0" borderId="0" applyNumberFormat="0" applyBorder="0" applyProtection="0"/>
    <xf numFmtId="167" fontId="6" fillId="0" borderId="0" applyBorder="0" applyProtection="0"/>
    <xf numFmtId="0" fontId="3" fillId="0" borderId="0"/>
    <xf numFmtId="164" fontId="4" fillId="0" borderId="0" applyFont="0" applyFill="0" applyBorder="0" applyAlignment="0" applyProtection="0"/>
    <xf numFmtId="0" fontId="2" fillId="0" borderId="0"/>
  </cellStyleXfs>
  <cellXfs count="169">
    <xf numFmtId="0" fontId="0" fillId="0" borderId="0" xfId="0"/>
    <xf numFmtId="0" fontId="0" fillId="3" borderId="0" xfId="0" applyFill="1"/>
    <xf numFmtId="0" fontId="12" fillId="3" borderId="0" xfId="0" applyFont="1" applyFill="1"/>
    <xf numFmtId="0" fontId="13" fillId="3" borderId="0" xfId="0" applyFont="1" applyFill="1"/>
    <xf numFmtId="0" fontId="13" fillId="0" borderId="0" xfId="0" applyFont="1"/>
    <xf numFmtId="0" fontId="10" fillId="3" borderId="0" xfId="0" applyFont="1" applyFill="1"/>
    <xf numFmtId="0" fontId="8" fillId="3" borderId="0" xfId="0" applyFont="1" applyFill="1"/>
    <xf numFmtId="0" fontId="11" fillId="3" borderId="0" xfId="0" applyFont="1" applyFill="1"/>
    <xf numFmtId="166" fontId="7" fillId="0" borderId="1" xfId="0" applyNumberFormat="1" applyFont="1" applyBorder="1" applyAlignment="1">
      <alignment horizontal="right"/>
    </xf>
    <xf numFmtId="0" fontId="0" fillId="5" borderId="0" xfId="0" applyFill="1"/>
    <xf numFmtId="0" fontId="9" fillId="5" borderId="0" xfId="0" applyFont="1" applyFill="1" applyAlignment="1">
      <alignment horizontal="center"/>
    </xf>
    <xf numFmtId="165" fontId="9" fillId="5" borderId="0" xfId="0" applyNumberFormat="1" applyFont="1" applyFill="1" applyAlignment="1">
      <alignment horizontal="center"/>
    </xf>
    <xf numFmtId="0" fontId="14" fillId="3" borderId="1" xfId="0" applyFont="1" applyFill="1" applyBorder="1" applyAlignment="1">
      <alignment horizontal="center" vertical="top"/>
    </xf>
    <xf numFmtId="0" fontId="14" fillId="0" borderId="1" xfId="0" applyFont="1" applyBorder="1" applyAlignment="1">
      <alignment horizontal="center" vertical="top"/>
    </xf>
    <xf numFmtId="0" fontId="14" fillId="3" borderId="1" xfId="0" applyFont="1" applyFill="1" applyBorder="1" applyAlignment="1">
      <alignment horizontal="center" vertical="top" wrapText="1"/>
    </xf>
    <xf numFmtId="165" fontId="14" fillId="3" borderId="1" xfId="0" applyNumberFormat="1" applyFont="1" applyFill="1" applyBorder="1" applyAlignment="1">
      <alignment horizontal="center" vertical="top"/>
    </xf>
    <xf numFmtId="14" fontId="14" fillId="3" borderId="1" xfId="0" applyNumberFormat="1" applyFont="1" applyFill="1" applyBorder="1" applyAlignment="1">
      <alignment horizontal="center" vertical="top"/>
    </xf>
    <xf numFmtId="14" fontId="14" fillId="3" borderId="2" xfId="0" applyNumberFormat="1" applyFont="1" applyFill="1" applyBorder="1" applyAlignment="1">
      <alignment horizontal="center" vertical="top"/>
    </xf>
    <xf numFmtId="0" fontId="13" fillId="0" borderId="1" xfId="0" applyFont="1" applyBorder="1" applyAlignment="1">
      <alignment horizontal="center" vertical="top"/>
    </xf>
    <xf numFmtId="0" fontId="14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165" fontId="14" fillId="3" borderId="1" xfId="0" applyNumberFormat="1" applyFont="1" applyFill="1" applyBorder="1" applyAlignment="1">
      <alignment horizontal="center" vertical="center"/>
    </xf>
    <xf numFmtId="14" fontId="14" fillId="3" borderId="1" xfId="0" applyNumberFormat="1" applyFont="1" applyFill="1" applyBorder="1" applyAlignment="1">
      <alignment horizontal="center" vertical="center"/>
    </xf>
    <xf numFmtId="168" fontId="14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49" fontId="14" fillId="3" borderId="1" xfId="0" applyNumberFormat="1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top"/>
    </xf>
    <xf numFmtId="49" fontId="14" fillId="6" borderId="1" xfId="0" applyNumberFormat="1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horizontal="center" vertical="center"/>
    </xf>
    <xf numFmtId="165" fontId="14" fillId="6" borderId="1" xfId="0" applyNumberFormat="1" applyFont="1" applyFill="1" applyBorder="1" applyAlignment="1">
      <alignment horizontal="center" vertical="center"/>
    </xf>
    <xf numFmtId="168" fontId="14" fillId="6" borderId="1" xfId="0" applyNumberFormat="1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center" vertical="top"/>
    </xf>
    <xf numFmtId="0" fontId="14" fillId="6" borderId="1" xfId="0" applyFont="1" applyFill="1" applyBorder="1" applyAlignment="1">
      <alignment horizontal="center" vertical="center" wrapText="1"/>
    </xf>
    <xf numFmtId="14" fontId="14" fillId="6" borderId="1" xfId="0" applyNumberFormat="1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top" wrapText="1"/>
    </xf>
    <xf numFmtId="14" fontId="14" fillId="6" borderId="4" xfId="0" applyNumberFormat="1" applyFont="1" applyFill="1" applyBorder="1" applyAlignment="1">
      <alignment horizontal="center" vertical="center"/>
    </xf>
    <xf numFmtId="165" fontId="14" fillId="6" borderId="5" xfId="0" applyNumberFormat="1" applyFont="1" applyFill="1" applyBorder="1" applyAlignment="1">
      <alignment horizontal="center" vertical="center"/>
    </xf>
    <xf numFmtId="0" fontId="14" fillId="6" borderId="5" xfId="0" applyFont="1" applyFill="1" applyBorder="1" applyAlignment="1">
      <alignment horizontal="center" vertical="center"/>
    </xf>
    <xf numFmtId="168" fontId="14" fillId="6" borderId="5" xfId="0" applyNumberFormat="1" applyFont="1" applyFill="1" applyBorder="1" applyAlignment="1">
      <alignment horizontal="center" vertical="center"/>
    </xf>
    <xf numFmtId="0" fontId="13" fillId="7" borderId="5" xfId="0" applyFont="1" applyFill="1" applyBorder="1" applyAlignment="1">
      <alignment horizontal="center" vertical="top"/>
    </xf>
    <xf numFmtId="165" fontId="14" fillId="6" borderId="6" xfId="0" applyNumberFormat="1" applyFont="1" applyFill="1" applyBorder="1" applyAlignment="1">
      <alignment horizontal="center" vertical="center"/>
    </xf>
    <xf numFmtId="0" fontId="0" fillId="0" borderId="3" xfId="0" applyBorder="1"/>
    <xf numFmtId="165" fontId="14" fillId="6" borderId="3" xfId="0" applyNumberFormat="1" applyFont="1" applyFill="1" applyBorder="1" applyAlignment="1">
      <alignment horizontal="center" vertical="center"/>
    </xf>
    <xf numFmtId="168" fontId="14" fillId="6" borderId="3" xfId="0" applyNumberFormat="1" applyFont="1" applyFill="1" applyBorder="1" applyAlignment="1">
      <alignment horizontal="center" vertical="center"/>
    </xf>
    <xf numFmtId="0" fontId="14" fillId="6" borderId="3" xfId="0" applyFont="1" applyFill="1" applyBorder="1" applyAlignment="1">
      <alignment horizontal="center" vertical="center"/>
    </xf>
    <xf numFmtId="165" fontId="14" fillId="6" borderId="2" xfId="0" applyNumberFormat="1" applyFont="1" applyFill="1" applyBorder="1" applyAlignment="1">
      <alignment horizontal="center" vertical="center"/>
    </xf>
    <xf numFmtId="0" fontId="14" fillId="6" borderId="4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9" fontId="14" fillId="6" borderId="5" xfId="0" applyNumberFormat="1" applyFont="1" applyFill="1" applyBorder="1" applyAlignment="1">
      <alignment horizontal="center" vertical="center"/>
    </xf>
    <xf numFmtId="14" fontId="14" fillId="6" borderId="5" xfId="0" applyNumberFormat="1" applyFont="1" applyFill="1" applyBorder="1" applyAlignment="1">
      <alignment horizontal="center" vertical="center"/>
    </xf>
    <xf numFmtId="0" fontId="14" fillId="6" borderId="3" xfId="0" applyFont="1" applyFill="1" applyBorder="1" applyAlignment="1">
      <alignment horizontal="center" vertical="center" wrapText="1"/>
    </xf>
    <xf numFmtId="14" fontId="14" fillId="6" borderId="3" xfId="0" applyNumberFormat="1" applyFont="1" applyFill="1" applyBorder="1" applyAlignment="1">
      <alignment horizontal="center" vertical="center"/>
    </xf>
    <xf numFmtId="0" fontId="14" fillId="7" borderId="3" xfId="0" applyFont="1" applyFill="1" applyBorder="1" applyAlignment="1">
      <alignment horizontal="center" vertical="center"/>
    </xf>
    <xf numFmtId="49" fontId="14" fillId="6" borderId="3" xfId="0" applyNumberFormat="1" applyFont="1" applyFill="1" applyBorder="1" applyAlignment="1">
      <alignment horizontal="center" vertical="center"/>
    </xf>
    <xf numFmtId="165" fontId="14" fillId="6" borderId="15" xfId="0" applyNumberFormat="1" applyFont="1" applyFill="1" applyBorder="1" applyAlignment="1">
      <alignment horizontal="center" vertical="center"/>
    </xf>
    <xf numFmtId="165" fontId="14" fillId="6" borderId="17" xfId="0" applyNumberFormat="1" applyFont="1" applyFill="1" applyBorder="1" applyAlignment="1">
      <alignment horizontal="center" vertical="center"/>
    </xf>
    <xf numFmtId="169" fontId="14" fillId="6" borderId="3" xfId="0" applyNumberFormat="1" applyFont="1" applyFill="1" applyBorder="1" applyAlignment="1">
      <alignment horizontal="center" vertical="center"/>
    </xf>
    <xf numFmtId="168" fontId="14" fillId="6" borderId="15" xfId="0" applyNumberFormat="1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 wrapText="1"/>
    </xf>
    <xf numFmtId="14" fontId="14" fillId="6" borderId="1" xfId="0" applyNumberFormat="1" applyFont="1" applyFill="1" applyBorder="1" applyAlignment="1">
      <alignment horizontal="center" vertical="center" wrapText="1"/>
    </xf>
    <xf numFmtId="164" fontId="14" fillId="6" borderId="1" xfId="7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14" fontId="14" fillId="6" borderId="5" xfId="0" applyNumberFormat="1" applyFont="1" applyFill="1" applyBorder="1" applyAlignment="1">
      <alignment horizontal="center" vertical="center" wrapText="1"/>
    </xf>
    <xf numFmtId="164" fontId="14" fillId="6" borderId="5" xfId="7" applyFont="1" applyFill="1" applyBorder="1" applyAlignment="1">
      <alignment horizontal="center" vertical="center" wrapText="1"/>
    </xf>
    <xf numFmtId="14" fontId="14" fillId="6" borderId="3" xfId="0" applyNumberFormat="1" applyFont="1" applyFill="1" applyBorder="1" applyAlignment="1">
      <alignment horizontal="center" vertical="center" wrapText="1"/>
    </xf>
    <xf numFmtId="164" fontId="14" fillId="6" borderId="3" xfId="7" applyFont="1" applyFill="1" applyBorder="1" applyAlignment="1">
      <alignment horizontal="center" vertical="center" wrapText="1"/>
    </xf>
    <xf numFmtId="0" fontId="14" fillId="6" borderId="19" xfId="0" applyFont="1" applyFill="1" applyBorder="1" applyAlignment="1">
      <alignment horizontal="center" vertical="center" wrapText="1"/>
    </xf>
    <xf numFmtId="166" fontId="7" fillId="0" borderId="4" xfId="0" applyNumberFormat="1" applyFont="1" applyBorder="1" applyAlignment="1">
      <alignment horizontal="right"/>
    </xf>
    <xf numFmtId="0" fontId="0" fillId="0" borderId="22" xfId="0" applyBorder="1"/>
    <xf numFmtId="0" fontId="0" fillId="7" borderId="0" xfId="0" applyFill="1"/>
    <xf numFmtId="0" fontId="0" fillId="8" borderId="0" xfId="0" applyFill="1"/>
    <xf numFmtId="0" fontId="2" fillId="0" borderId="0" xfId="8" applyAlignment="1">
      <alignment horizontal="center"/>
    </xf>
    <xf numFmtId="0" fontId="0" fillId="0" borderId="3" xfId="0" applyBorder="1" applyAlignment="1">
      <alignment horizontal="center"/>
    </xf>
    <xf numFmtId="0" fontId="2" fillId="0" borderId="0" xfId="8" applyAlignment="1">
      <alignment horizontal="center" vertical="center"/>
    </xf>
    <xf numFmtId="0" fontId="14" fillId="6" borderId="13" xfId="0" applyFont="1" applyFill="1" applyBorder="1" applyAlignment="1">
      <alignment horizontal="center" vertical="center" wrapText="1"/>
    </xf>
    <xf numFmtId="49" fontId="14" fillId="6" borderId="13" xfId="0" applyNumberFormat="1" applyFont="1" applyFill="1" applyBorder="1" applyAlignment="1">
      <alignment horizontal="center" vertical="center"/>
    </xf>
    <xf numFmtId="0" fontId="14" fillId="3" borderId="13" xfId="0" applyFont="1" applyFill="1" applyBorder="1" applyAlignment="1">
      <alignment horizontal="center" vertical="center" wrapText="1"/>
    </xf>
    <xf numFmtId="14" fontId="14" fillId="6" borderId="13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0" fillId="0" borderId="3" xfId="0" applyBorder="1" applyAlignment="1">
      <alignment horizontal="center" vertical="center"/>
    </xf>
    <xf numFmtId="1" fontId="0" fillId="0" borderId="3" xfId="0" applyNumberFormat="1" applyBorder="1" applyAlignment="1">
      <alignment horizontal="center"/>
    </xf>
    <xf numFmtId="0" fontId="14" fillId="6" borderId="1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4" fontId="0" fillId="0" borderId="0" xfId="0" applyNumberFormat="1"/>
    <xf numFmtId="14" fontId="0" fillId="0" borderId="3" xfId="0" applyNumberFormat="1" applyBorder="1" applyAlignment="1">
      <alignment horizontal="center"/>
    </xf>
    <xf numFmtId="164" fontId="0" fillId="0" borderId="3" xfId="7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wrapText="1"/>
    </xf>
    <xf numFmtId="0" fontId="1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9" fillId="4" borderId="1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165" fontId="9" fillId="5" borderId="1" xfId="0" applyNumberFormat="1" applyFont="1" applyFill="1" applyBorder="1" applyAlignment="1">
      <alignment horizontal="center"/>
    </xf>
    <xf numFmtId="165" fontId="14" fillId="6" borderId="3" xfId="0" applyNumberFormat="1" applyFont="1" applyFill="1" applyBorder="1" applyAlignment="1">
      <alignment horizontal="center" vertical="center"/>
    </xf>
    <xf numFmtId="165" fontId="14" fillId="6" borderId="9" xfId="0" applyNumberFormat="1" applyFont="1" applyFill="1" applyBorder="1" applyAlignment="1">
      <alignment horizontal="center" vertical="center"/>
    </xf>
    <xf numFmtId="165" fontId="14" fillId="6" borderId="10" xfId="0" applyNumberFormat="1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center" vertical="top"/>
    </xf>
    <xf numFmtId="0" fontId="14" fillId="6" borderId="7" xfId="0" applyFont="1" applyFill="1" applyBorder="1" applyAlignment="1">
      <alignment horizontal="center" vertical="center"/>
    </xf>
    <xf numFmtId="0" fontId="14" fillId="6" borderId="8" xfId="0" applyFont="1" applyFill="1" applyBorder="1" applyAlignment="1">
      <alignment horizontal="center" vertical="center"/>
    </xf>
    <xf numFmtId="0" fontId="14" fillId="6" borderId="3" xfId="0" applyFont="1" applyFill="1" applyBorder="1" applyAlignment="1">
      <alignment horizontal="center" vertical="center"/>
    </xf>
    <xf numFmtId="168" fontId="14" fillId="6" borderId="3" xfId="0" applyNumberFormat="1" applyFont="1" applyFill="1" applyBorder="1" applyAlignment="1">
      <alignment horizontal="center" vertical="center"/>
    </xf>
    <xf numFmtId="49" fontId="14" fillId="6" borderId="5" xfId="0" applyNumberFormat="1" applyFont="1" applyFill="1" applyBorder="1" applyAlignment="1">
      <alignment horizontal="center" vertical="center"/>
    </xf>
    <xf numFmtId="49" fontId="14" fillId="6" borderId="6" xfId="0" applyNumberFormat="1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  <xf numFmtId="0" fontId="14" fillId="6" borderId="6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/>
    </xf>
    <xf numFmtId="0" fontId="14" fillId="6" borderId="6" xfId="0" applyFont="1" applyFill="1" applyBorder="1" applyAlignment="1">
      <alignment horizontal="center" vertical="center"/>
    </xf>
    <xf numFmtId="0" fontId="13" fillId="7" borderId="5" xfId="0" applyFont="1" applyFill="1" applyBorder="1" applyAlignment="1">
      <alignment horizontal="center" vertical="top"/>
    </xf>
    <xf numFmtId="0" fontId="13" fillId="7" borderId="6" xfId="0" applyFont="1" applyFill="1" applyBorder="1" applyAlignment="1">
      <alignment horizontal="center" vertical="top"/>
    </xf>
    <xf numFmtId="165" fontId="14" fillId="6" borderId="5" xfId="0" applyNumberFormat="1" applyFont="1" applyFill="1" applyBorder="1" applyAlignment="1">
      <alignment horizontal="center" vertical="center"/>
    </xf>
    <xf numFmtId="165" fontId="14" fillId="6" borderId="6" xfId="0" applyNumberFormat="1" applyFont="1" applyFill="1" applyBorder="1" applyAlignment="1">
      <alignment horizontal="center" vertical="center"/>
    </xf>
    <xf numFmtId="168" fontId="14" fillId="6" borderId="5" xfId="0" applyNumberFormat="1" applyFont="1" applyFill="1" applyBorder="1" applyAlignment="1">
      <alignment horizontal="center" vertical="center"/>
    </xf>
    <xf numFmtId="168" fontId="14" fillId="6" borderId="6" xfId="0" applyNumberFormat="1" applyFont="1" applyFill="1" applyBorder="1" applyAlignment="1">
      <alignment horizontal="center" vertical="center"/>
    </xf>
    <xf numFmtId="14" fontId="14" fillId="6" borderId="5" xfId="0" applyNumberFormat="1" applyFont="1" applyFill="1" applyBorder="1" applyAlignment="1">
      <alignment horizontal="center" vertical="center"/>
    </xf>
    <xf numFmtId="14" fontId="14" fillId="6" borderId="6" xfId="0" applyNumberFormat="1" applyFont="1" applyFill="1" applyBorder="1" applyAlignment="1">
      <alignment horizontal="center" vertical="center"/>
    </xf>
    <xf numFmtId="14" fontId="14" fillId="6" borderId="3" xfId="0" applyNumberFormat="1" applyFont="1" applyFill="1" applyBorder="1" applyAlignment="1">
      <alignment horizontal="center" vertical="center"/>
    </xf>
    <xf numFmtId="0" fontId="14" fillId="6" borderId="13" xfId="0" applyFont="1" applyFill="1" applyBorder="1" applyAlignment="1">
      <alignment horizontal="center" vertical="center" wrapText="1"/>
    </xf>
    <xf numFmtId="0" fontId="14" fillId="6" borderId="14" xfId="0" applyFont="1" applyFill="1" applyBorder="1" applyAlignment="1">
      <alignment horizontal="center" vertical="center" wrapText="1"/>
    </xf>
    <xf numFmtId="169" fontId="14" fillId="6" borderId="3" xfId="0" applyNumberFormat="1" applyFont="1" applyFill="1" applyBorder="1" applyAlignment="1">
      <alignment horizontal="center" vertical="center"/>
    </xf>
    <xf numFmtId="168" fontId="14" fillId="6" borderId="15" xfId="0" applyNumberFormat="1" applyFont="1" applyFill="1" applyBorder="1" applyAlignment="1">
      <alignment horizontal="center" vertical="center"/>
    </xf>
    <xf numFmtId="168" fontId="14" fillId="6" borderId="16" xfId="0" applyNumberFormat="1" applyFont="1" applyFill="1" applyBorder="1" applyAlignment="1">
      <alignment horizontal="center" vertical="center"/>
    </xf>
    <xf numFmtId="165" fontId="14" fillId="6" borderId="12" xfId="0" applyNumberFormat="1" applyFont="1" applyFill="1" applyBorder="1" applyAlignment="1">
      <alignment horizontal="center" vertical="center"/>
    </xf>
    <xf numFmtId="165" fontId="14" fillId="6" borderId="17" xfId="0" applyNumberFormat="1" applyFont="1" applyFill="1" applyBorder="1" applyAlignment="1">
      <alignment horizontal="center" vertical="center"/>
    </xf>
    <xf numFmtId="165" fontId="14" fillId="6" borderId="18" xfId="0" applyNumberFormat="1" applyFont="1" applyFill="1" applyBorder="1" applyAlignment="1">
      <alignment horizontal="center" vertical="center"/>
    </xf>
    <xf numFmtId="165" fontId="14" fillId="6" borderId="15" xfId="0" applyNumberFormat="1" applyFont="1" applyFill="1" applyBorder="1" applyAlignment="1">
      <alignment horizontal="center" vertical="center"/>
    </xf>
    <xf numFmtId="165" fontId="14" fillId="6" borderId="16" xfId="0" applyNumberFormat="1" applyFont="1" applyFill="1" applyBorder="1" applyAlignment="1">
      <alignment horizontal="center" vertical="center"/>
    </xf>
    <xf numFmtId="49" fontId="14" fillId="6" borderId="3" xfId="0" applyNumberFormat="1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14" fillId="7" borderId="3" xfId="0" applyFont="1" applyFill="1" applyBorder="1" applyAlignment="1">
      <alignment horizontal="center" vertical="center"/>
    </xf>
    <xf numFmtId="164" fontId="14" fillId="6" borderId="3" xfId="7" applyFont="1" applyFill="1" applyBorder="1" applyAlignment="1">
      <alignment horizontal="center" vertical="center" wrapText="1"/>
    </xf>
    <xf numFmtId="0" fontId="14" fillId="6" borderId="19" xfId="0" applyFont="1" applyFill="1" applyBorder="1" applyAlignment="1">
      <alignment horizontal="center" vertical="center" wrapText="1"/>
    </xf>
    <xf numFmtId="164" fontId="14" fillId="6" borderId="15" xfId="7" applyFont="1" applyFill="1" applyBorder="1" applyAlignment="1">
      <alignment horizontal="center" vertical="center" wrapText="1"/>
    </xf>
    <xf numFmtId="164" fontId="14" fillId="6" borderId="16" xfId="7" applyFont="1" applyFill="1" applyBorder="1" applyAlignment="1">
      <alignment horizontal="center" vertical="center" wrapText="1"/>
    </xf>
    <xf numFmtId="164" fontId="14" fillId="6" borderId="20" xfId="7" applyFont="1" applyFill="1" applyBorder="1" applyAlignment="1">
      <alignment horizontal="center" vertical="center" wrapText="1"/>
    </xf>
    <xf numFmtId="164" fontId="14" fillId="6" borderId="5" xfId="7" applyFont="1" applyFill="1" applyBorder="1" applyAlignment="1">
      <alignment horizontal="center" vertical="center" wrapText="1"/>
    </xf>
    <xf numFmtId="164" fontId="14" fillId="6" borderId="12" xfId="7" applyFont="1" applyFill="1" applyBorder="1" applyAlignment="1">
      <alignment horizontal="center" vertical="center" wrapText="1"/>
    </xf>
    <xf numFmtId="164" fontId="14" fillId="6" borderId="6" xfId="7" applyFont="1" applyFill="1" applyBorder="1" applyAlignment="1">
      <alignment horizontal="center" vertical="center" wrapText="1"/>
    </xf>
    <xf numFmtId="164" fontId="14" fillId="6" borderId="17" xfId="7" applyFont="1" applyFill="1" applyBorder="1" applyAlignment="1">
      <alignment horizontal="center" vertical="center" wrapText="1"/>
    </xf>
    <xf numFmtId="164" fontId="14" fillId="6" borderId="18" xfId="7" applyFont="1" applyFill="1" applyBorder="1" applyAlignment="1">
      <alignment horizontal="center" vertical="center" wrapText="1"/>
    </xf>
    <xf numFmtId="164" fontId="14" fillId="6" borderId="21" xfId="7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/>
    </xf>
    <xf numFmtId="0" fontId="9" fillId="4" borderId="7" xfId="0" applyFont="1" applyFill="1" applyBorder="1" applyAlignment="1">
      <alignment horizontal="center"/>
    </xf>
    <xf numFmtId="0" fontId="9" fillId="5" borderId="5" xfId="0" applyFont="1" applyFill="1" applyBorder="1" applyAlignment="1">
      <alignment horizontal="center"/>
    </xf>
    <xf numFmtId="165" fontId="9" fillId="5" borderId="5" xfId="0" applyNumberFormat="1" applyFont="1" applyFill="1" applyBorder="1" applyAlignment="1">
      <alignment horizontal="center"/>
    </xf>
    <xf numFmtId="0" fontId="9" fillId="4" borderId="5" xfId="0" applyFont="1" applyFill="1" applyBorder="1" applyAlignment="1">
      <alignment horizontal="center"/>
    </xf>
    <xf numFmtId="164" fontId="14" fillId="6" borderId="13" xfId="7" applyFont="1" applyFill="1" applyBorder="1" applyAlignment="1">
      <alignment horizontal="center" vertical="center" wrapText="1"/>
    </xf>
    <xf numFmtId="164" fontId="14" fillId="6" borderId="14" xfId="7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164" fontId="0" fillId="0" borderId="3" xfId="7" applyFont="1" applyBorder="1" applyAlignment="1">
      <alignment horizontal="center" vertical="center"/>
    </xf>
    <xf numFmtId="164" fontId="0" fillId="0" borderId="13" xfId="7" applyFont="1" applyBorder="1" applyAlignment="1">
      <alignment horizontal="center" vertical="center"/>
    </xf>
    <xf numFmtId="164" fontId="0" fillId="0" borderId="14" xfId="7" applyFont="1" applyBorder="1" applyAlignment="1">
      <alignment horizontal="center" vertical="center"/>
    </xf>
    <xf numFmtId="0" fontId="7" fillId="0" borderId="1" xfId="0" applyFont="1" applyBorder="1" applyAlignment="1"/>
    <xf numFmtId="0" fontId="1" fillId="0" borderId="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170" fontId="1" fillId="0" borderId="13" xfId="0" applyNumberFormat="1" applyFont="1" applyBorder="1" applyAlignment="1">
      <alignment horizontal="center" vertical="center"/>
    </xf>
    <xf numFmtId="170" fontId="1" fillId="0" borderId="3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</cellXfs>
  <cellStyles count="9">
    <cellStyle name="ConditionalStyle_1" xfId="1" xr:uid="{00000000-0005-0000-0000-000000000000}"/>
    <cellStyle name="Heading" xfId="2" xr:uid="{00000000-0005-0000-0000-000001000000}"/>
    <cellStyle name="Heading1" xfId="3" xr:uid="{00000000-0005-0000-0000-000002000000}"/>
    <cellStyle name="Moeda" xfId="7" builtinId="4"/>
    <cellStyle name="Normal" xfId="0" builtinId="0" customBuiltin="1"/>
    <cellStyle name="Normal 2" xfId="6" xr:uid="{00000000-0005-0000-0000-000005000000}"/>
    <cellStyle name="Normal 3" xfId="8" xr:uid="{00000000-0005-0000-0000-000006000000}"/>
    <cellStyle name="Result" xfId="4" xr:uid="{00000000-0005-0000-0000-000007000000}"/>
    <cellStyle name="Result2" xfId="5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2"/>
  <sheetViews>
    <sheetView topLeftCell="A2" workbookViewId="0">
      <selection activeCell="E14" sqref="E14"/>
    </sheetView>
  </sheetViews>
  <sheetFormatPr defaultRowHeight="15" customHeight="1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62" t="s">
        <v>0</v>
      </c>
      <c r="W5" s="162"/>
      <c r="X5" s="8">
        <v>42917</v>
      </c>
    </row>
    <row r="6" spans="1:24">
      <c r="A6" s="96" t="s">
        <v>1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</row>
    <row r="7" spans="1:24">
      <c r="A7" s="96" t="s">
        <v>2</v>
      </c>
      <c r="B7" s="96"/>
      <c r="C7" s="96" t="s">
        <v>3</v>
      </c>
      <c r="D7" s="96"/>
      <c r="E7" s="96"/>
      <c r="F7" s="96" t="s">
        <v>4</v>
      </c>
      <c r="G7" s="96"/>
      <c r="H7" s="96"/>
      <c r="I7" s="96"/>
      <c r="J7" s="96"/>
      <c r="K7" s="96"/>
      <c r="L7" s="96"/>
      <c r="M7" s="96"/>
      <c r="N7" s="96" t="s">
        <v>5</v>
      </c>
      <c r="O7" s="96"/>
      <c r="P7" s="96"/>
      <c r="Q7" s="96" t="s">
        <v>6</v>
      </c>
      <c r="R7" s="96"/>
      <c r="S7" s="96"/>
      <c r="T7" s="96"/>
      <c r="U7" s="96"/>
      <c r="V7" s="96"/>
      <c r="W7" s="96" t="s">
        <v>7</v>
      </c>
      <c r="X7" s="96" t="s">
        <v>8</v>
      </c>
    </row>
    <row r="8" spans="1:24" s="9" customFormat="1">
      <c r="A8" s="97" t="s">
        <v>9</v>
      </c>
      <c r="B8" s="97" t="s">
        <v>10</v>
      </c>
      <c r="C8" s="97" t="s">
        <v>11</v>
      </c>
      <c r="D8" s="97" t="s">
        <v>12</v>
      </c>
      <c r="E8" s="97" t="s">
        <v>13</v>
      </c>
      <c r="F8" s="97" t="s">
        <v>14</v>
      </c>
      <c r="G8" s="97" t="s">
        <v>15</v>
      </c>
      <c r="H8" s="97" t="s">
        <v>16</v>
      </c>
      <c r="I8" s="97"/>
      <c r="J8" s="98" t="s">
        <v>17</v>
      </c>
      <c r="K8" s="98"/>
      <c r="L8" s="97" t="s">
        <v>18</v>
      </c>
      <c r="M8" s="97" t="s">
        <v>19</v>
      </c>
      <c r="N8" s="98" t="s">
        <v>20</v>
      </c>
      <c r="O8" s="98" t="s">
        <v>21</v>
      </c>
      <c r="P8" s="98" t="s">
        <v>22</v>
      </c>
      <c r="Q8" s="98" t="s">
        <v>23</v>
      </c>
      <c r="R8" s="98"/>
      <c r="S8" s="98" t="s">
        <v>24</v>
      </c>
      <c r="T8" s="98"/>
      <c r="U8" s="97" t="s">
        <v>25</v>
      </c>
      <c r="V8" s="98" t="s">
        <v>22</v>
      </c>
      <c r="W8" s="96"/>
      <c r="X8" s="96"/>
    </row>
    <row r="9" spans="1:24" s="9" customFormat="1">
      <c r="A9" s="97"/>
      <c r="B9" s="97"/>
      <c r="C9" s="97"/>
      <c r="D9" s="97"/>
      <c r="E9" s="97"/>
      <c r="F9" s="97"/>
      <c r="G9" s="97"/>
      <c r="H9" s="10" t="s">
        <v>26</v>
      </c>
      <c r="I9" s="10" t="s">
        <v>27</v>
      </c>
      <c r="J9" s="10" t="s">
        <v>26</v>
      </c>
      <c r="K9" s="11" t="s">
        <v>28</v>
      </c>
      <c r="L9" s="97"/>
      <c r="M9" s="97"/>
      <c r="N9" s="98"/>
      <c r="O9" s="98"/>
      <c r="P9" s="98"/>
      <c r="Q9" s="10" t="s">
        <v>29</v>
      </c>
      <c r="R9" s="11" t="s">
        <v>30</v>
      </c>
      <c r="S9" s="10" t="s">
        <v>29</v>
      </c>
      <c r="T9" s="11" t="s">
        <v>30</v>
      </c>
      <c r="U9" s="97"/>
      <c r="V9" s="98"/>
      <c r="W9" s="96"/>
      <c r="X9" s="96"/>
    </row>
    <row r="10" spans="1:24" ht="25.5">
      <c r="A10" s="19" t="s">
        <v>31</v>
      </c>
      <c r="B10" s="19" t="s">
        <v>32</v>
      </c>
      <c r="C10" s="19" t="s">
        <v>33</v>
      </c>
      <c r="D10" s="19">
        <v>66</v>
      </c>
      <c r="E10" s="20" t="s">
        <v>34</v>
      </c>
      <c r="F10" s="20" t="s">
        <v>35</v>
      </c>
      <c r="G10" s="21" t="s">
        <v>36</v>
      </c>
      <c r="H10" s="19" t="s">
        <v>37</v>
      </c>
      <c r="I10" s="19" t="s">
        <v>38</v>
      </c>
      <c r="J10" s="19" t="s">
        <v>39</v>
      </c>
      <c r="K10" s="22" t="s">
        <v>40</v>
      </c>
      <c r="L10" s="23">
        <v>42926</v>
      </c>
      <c r="M10" s="23">
        <v>42928</v>
      </c>
      <c r="N10" s="22">
        <f>639.67/2</f>
        <v>319.83499999999998</v>
      </c>
      <c r="O10" s="22">
        <f>639.67/2</f>
        <v>319.83499999999998</v>
      </c>
      <c r="P10" s="22">
        <f>N10+O10</f>
        <v>639.66999999999996</v>
      </c>
      <c r="Q10" s="19">
        <v>3</v>
      </c>
      <c r="R10" s="22">
        <v>120</v>
      </c>
      <c r="S10" s="19"/>
      <c r="T10" s="22"/>
      <c r="U10" s="24">
        <f>(Q10*R10)+(S10*T10)</f>
        <v>360</v>
      </c>
      <c r="V10" s="22">
        <f>P10+U10</f>
        <v>999.67</v>
      </c>
      <c r="W10" s="22">
        <f>V10</f>
        <v>999.67</v>
      </c>
      <c r="X10" s="12"/>
    </row>
    <row r="11" spans="1:24" ht="38.25">
      <c r="A11" s="12" t="s">
        <v>31</v>
      </c>
      <c r="B11" s="12" t="s">
        <v>32</v>
      </c>
      <c r="C11" s="12" t="s">
        <v>41</v>
      </c>
      <c r="D11" s="19">
        <v>129</v>
      </c>
      <c r="E11" s="14" t="s">
        <v>42</v>
      </c>
      <c r="F11" s="14" t="s">
        <v>43</v>
      </c>
      <c r="G11" s="21" t="s">
        <v>36</v>
      </c>
      <c r="H11" s="19" t="s">
        <v>37</v>
      </c>
      <c r="I11" s="12" t="s">
        <v>38</v>
      </c>
      <c r="J11" s="19" t="s">
        <v>39</v>
      </c>
      <c r="K11" s="22" t="s">
        <v>40</v>
      </c>
      <c r="L11" s="16">
        <v>42940</v>
      </c>
      <c r="M11" s="16">
        <v>42942</v>
      </c>
      <c r="N11" s="22">
        <f>676.03/2</f>
        <v>338.01499999999999</v>
      </c>
      <c r="O11" s="22">
        <f>676.03/2</f>
        <v>338.01499999999999</v>
      </c>
      <c r="P11" s="22">
        <f>N11+O11</f>
        <v>676.03</v>
      </c>
      <c r="Q11" s="12">
        <v>3</v>
      </c>
      <c r="R11" s="15">
        <v>120</v>
      </c>
      <c r="S11" s="12"/>
      <c r="T11" s="15"/>
      <c r="U11" s="24">
        <f t="shared" ref="U11:U15" si="0">(Q11*R11)+(S11*T11)</f>
        <v>360</v>
      </c>
      <c r="V11" s="22">
        <f t="shared" ref="V11:V15" si="1">P11+U11</f>
        <v>1036.03</v>
      </c>
      <c r="W11" s="22">
        <f t="shared" ref="W11:W15" si="2">V11</f>
        <v>1036.03</v>
      </c>
      <c r="X11" s="12"/>
    </row>
    <row r="12" spans="1:24" ht="38.25">
      <c r="A12" s="12" t="s">
        <v>44</v>
      </c>
      <c r="B12" s="12" t="s">
        <v>45</v>
      </c>
      <c r="C12" s="14" t="s">
        <v>46</v>
      </c>
      <c r="D12" s="19">
        <v>232</v>
      </c>
      <c r="E12" s="14" t="s">
        <v>47</v>
      </c>
      <c r="F12" s="25" t="s">
        <v>48</v>
      </c>
      <c r="G12" s="21" t="s">
        <v>36</v>
      </c>
      <c r="H12" s="19" t="s">
        <v>37</v>
      </c>
      <c r="I12" s="12" t="s">
        <v>38</v>
      </c>
      <c r="J12" s="19" t="s">
        <v>39</v>
      </c>
      <c r="K12" s="22" t="s">
        <v>40</v>
      </c>
      <c r="L12" s="16">
        <v>42935</v>
      </c>
      <c r="M12" s="16">
        <v>42937</v>
      </c>
      <c r="N12" s="22">
        <f>650.64/2</f>
        <v>325.32</v>
      </c>
      <c r="O12" s="22">
        <f>650.64/2</f>
        <v>325.32</v>
      </c>
      <c r="P12" s="22">
        <f t="shared" ref="P12:P15" si="3">N12+O12</f>
        <v>650.64</v>
      </c>
      <c r="Q12" s="12">
        <v>7</v>
      </c>
      <c r="R12" s="15">
        <v>120</v>
      </c>
      <c r="S12" s="12"/>
      <c r="T12" s="15"/>
      <c r="U12" s="24">
        <f t="shared" si="0"/>
        <v>840</v>
      </c>
      <c r="V12" s="22">
        <f t="shared" si="1"/>
        <v>1490.6399999999999</v>
      </c>
      <c r="W12" s="22">
        <f t="shared" si="2"/>
        <v>1490.6399999999999</v>
      </c>
      <c r="X12" s="12"/>
    </row>
    <row r="13" spans="1:24" ht="25.5">
      <c r="A13" s="12" t="s">
        <v>31</v>
      </c>
      <c r="B13" s="12" t="s">
        <v>31</v>
      </c>
      <c r="C13" s="12" t="s">
        <v>49</v>
      </c>
      <c r="D13" s="12"/>
      <c r="E13" s="14" t="s">
        <v>50</v>
      </c>
      <c r="F13" s="14" t="s">
        <v>51</v>
      </c>
      <c r="G13" s="21" t="s">
        <v>36</v>
      </c>
      <c r="H13" s="19" t="s">
        <v>37</v>
      </c>
      <c r="I13" s="12" t="s">
        <v>38</v>
      </c>
      <c r="J13" s="19" t="s">
        <v>39</v>
      </c>
      <c r="K13" s="22" t="s">
        <v>40</v>
      </c>
      <c r="L13" s="17">
        <v>42936</v>
      </c>
      <c r="M13" s="17">
        <v>42937</v>
      </c>
      <c r="N13" s="22">
        <f>713.1/2</f>
        <v>356.55</v>
      </c>
      <c r="O13" s="22">
        <f>713.1/2</f>
        <v>356.55</v>
      </c>
      <c r="P13" s="22">
        <f t="shared" si="3"/>
        <v>713.1</v>
      </c>
      <c r="Q13" s="18"/>
      <c r="R13" s="18"/>
      <c r="S13" s="18"/>
      <c r="T13" s="15"/>
      <c r="U13" s="24">
        <f t="shared" si="0"/>
        <v>0</v>
      </c>
      <c r="V13" s="22">
        <f t="shared" si="1"/>
        <v>713.1</v>
      </c>
      <c r="W13" s="22">
        <f t="shared" si="2"/>
        <v>713.1</v>
      </c>
      <c r="X13" s="18"/>
    </row>
    <row r="14" spans="1:24" ht="25.5">
      <c r="A14" s="12" t="s">
        <v>52</v>
      </c>
      <c r="B14" s="12" t="s">
        <v>53</v>
      </c>
      <c r="C14" s="12" t="s">
        <v>54</v>
      </c>
      <c r="D14" s="12">
        <v>56</v>
      </c>
      <c r="E14" s="14" t="s">
        <v>55</v>
      </c>
      <c r="F14" s="14" t="s">
        <v>51</v>
      </c>
      <c r="G14" s="21" t="s">
        <v>36</v>
      </c>
      <c r="H14" s="19" t="s">
        <v>37</v>
      </c>
      <c r="I14" s="12" t="s">
        <v>38</v>
      </c>
      <c r="J14" s="19" t="s">
        <v>39</v>
      </c>
      <c r="K14" s="22" t="s">
        <v>40</v>
      </c>
      <c r="L14" s="16">
        <v>42936</v>
      </c>
      <c r="M14" s="16">
        <v>42937</v>
      </c>
      <c r="N14" s="22">
        <f>877.49/2</f>
        <v>438.745</v>
      </c>
      <c r="O14" s="22">
        <f>877.49/2</f>
        <v>438.745</v>
      </c>
      <c r="P14" s="22">
        <f t="shared" si="3"/>
        <v>877.49</v>
      </c>
      <c r="Q14" s="13">
        <v>4</v>
      </c>
      <c r="R14" s="15">
        <v>120</v>
      </c>
      <c r="S14" s="18"/>
      <c r="T14" s="15"/>
      <c r="U14" s="24">
        <f t="shared" si="0"/>
        <v>480</v>
      </c>
      <c r="V14" s="22">
        <f t="shared" si="1"/>
        <v>1357.49</v>
      </c>
      <c r="W14" s="22">
        <f t="shared" si="2"/>
        <v>1357.49</v>
      </c>
      <c r="X14" s="18"/>
    </row>
    <row r="15" spans="1:24" ht="25.5">
      <c r="A15" s="12" t="s">
        <v>31</v>
      </c>
      <c r="B15" s="12" t="s">
        <v>31</v>
      </c>
      <c r="C15" s="12" t="s">
        <v>49</v>
      </c>
      <c r="D15" s="12"/>
      <c r="E15" s="14" t="s">
        <v>50</v>
      </c>
      <c r="F15" s="14" t="s">
        <v>56</v>
      </c>
      <c r="G15" s="21" t="s">
        <v>36</v>
      </c>
      <c r="H15" s="19" t="s">
        <v>37</v>
      </c>
      <c r="I15" s="12" t="s">
        <v>38</v>
      </c>
      <c r="J15" s="19" t="s">
        <v>39</v>
      </c>
      <c r="K15" s="22" t="s">
        <v>40</v>
      </c>
      <c r="L15" s="16">
        <v>42942</v>
      </c>
      <c r="M15" s="16">
        <v>42943</v>
      </c>
      <c r="N15" s="22">
        <f>1084.29/2</f>
        <v>542.14499999999998</v>
      </c>
      <c r="O15" s="22">
        <f>1084.29/2</f>
        <v>542.14499999999998</v>
      </c>
      <c r="P15" s="22">
        <f t="shared" si="3"/>
        <v>1084.29</v>
      </c>
      <c r="Q15" s="13"/>
      <c r="R15" s="15"/>
      <c r="S15" s="18"/>
      <c r="T15" s="15"/>
      <c r="U15" s="24">
        <f t="shared" si="0"/>
        <v>0</v>
      </c>
      <c r="V15" s="22">
        <f t="shared" si="1"/>
        <v>1084.29</v>
      </c>
      <c r="W15" s="22">
        <f t="shared" si="2"/>
        <v>1084.29</v>
      </c>
      <c r="X15" s="18"/>
    </row>
    <row r="16" spans="1:24" ht="14.25">
      <c r="A16" s="2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4"/>
      <c r="R16" s="4"/>
      <c r="S16" s="4"/>
      <c r="T16" s="4"/>
      <c r="U16" s="4"/>
      <c r="V16" s="4"/>
      <c r="W16" s="4"/>
      <c r="X16" s="4"/>
    </row>
    <row r="17" spans="1:16" ht="45">
      <c r="A17" s="5"/>
      <c r="B17" s="6"/>
      <c r="C17" s="6"/>
      <c r="D17" s="6"/>
      <c r="E17" s="7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ht="14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ht="14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ht="14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ht="14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20"/>
  <sheetViews>
    <sheetView workbookViewId="0">
      <selection activeCell="A16" sqref="A16:E16"/>
    </sheetView>
  </sheetViews>
  <sheetFormatPr defaultRowHeight="15" customHeight="1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62" t="s">
        <v>0</v>
      </c>
      <c r="W5" s="162"/>
      <c r="X5" s="8">
        <v>43252</v>
      </c>
    </row>
    <row r="6" spans="1:24">
      <c r="A6" s="96" t="s">
        <v>1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</row>
    <row r="7" spans="1:24">
      <c r="A7" s="96" t="s">
        <v>2</v>
      </c>
      <c r="B7" s="96"/>
      <c r="C7" s="96" t="s">
        <v>3</v>
      </c>
      <c r="D7" s="96"/>
      <c r="E7" s="96"/>
      <c r="F7" s="96" t="s">
        <v>4</v>
      </c>
      <c r="G7" s="96"/>
      <c r="H7" s="96"/>
      <c r="I7" s="96"/>
      <c r="J7" s="96"/>
      <c r="K7" s="96"/>
      <c r="L7" s="96"/>
      <c r="M7" s="96"/>
      <c r="N7" s="96" t="s">
        <v>5</v>
      </c>
      <c r="O7" s="96"/>
      <c r="P7" s="96"/>
      <c r="Q7" s="96" t="s">
        <v>6</v>
      </c>
      <c r="R7" s="96"/>
      <c r="S7" s="96"/>
      <c r="T7" s="96"/>
      <c r="U7" s="96"/>
      <c r="V7" s="96"/>
      <c r="W7" s="96" t="s">
        <v>7</v>
      </c>
      <c r="X7" s="96" t="s">
        <v>8</v>
      </c>
    </row>
    <row r="8" spans="1:24" s="9" customFormat="1">
      <c r="A8" s="97" t="s">
        <v>9</v>
      </c>
      <c r="B8" s="97" t="s">
        <v>10</v>
      </c>
      <c r="C8" s="97" t="s">
        <v>11</v>
      </c>
      <c r="D8" s="97" t="s">
        <v>12</v>
      </c>
      <c r="E8" s="97" t="s">
        <v>13</v>
      </c>
      <c r="F8" s="97" t="s">
        <v>14</v>
      </c>
      <c r="G8" s="97" t="s">
        <v>15</v>
      </c>
      <c r="H8" s="97" t="s">
        <v>16</v>
      </c>
      <c r="I8" s="97"/>
      <c r="J8" s="98" t="s">
        <v>17</v>
      </c>
      <c r="K8" s="98"/>
      <c r="L8" s="97" t="s">
        <v>18</v>
      </c>
      <c r="M8" s="97" t="s">
        <v>19</v>
      </c>
      <c r="N8" s="98" t="s">
        <v>20</v>
      </c>
      <c r="O8" s="98" t="s">
        <v>21</v>
      </c>
      <c r="P8" s="98" t="s">
        <v>22</v>
      </c>
      <c r="Q8" s="98" t="s">
        <v>23</v>
      </c>
      <c r="R8" s="98"/>
      <c r="S8" s="98" t="s">
        <v>24</v>
      </c>
      <c r="T8" s="98"/>
      <c r="U8" s="97" t="s">
        <v>25</v>
      </c>
      <c r="V8" s="98" t="s">
        <v>22</v>
      </c>
      <c r="W8" s="96"/>
      <c r="X8" s="96"/>
    </row>
    <row r="9" spans="1:24" s="9" customFormat="1" ht="17.25" customHeight="1">
      <c r="A9" s="97"/>
      <c r="B9" s="97"/>
      <c r="C9" s="97"/>
      <c r="D9" s="97"/>
      <c r="E9" s="97"/>
      <c r="F9" s="97"/>
      <c r="G9" s="97"/>
      <c r="H9" s="10" t="s">
        <v>26</v>
      </c>
      <c r="I9" s="10" t="s">
        <v>27</v>
      </c>
      <c r="J9" s="10" t="s">
        <v>26</v>
      </c>
      <c r="K9" s="11" t="s">
        <v>28</v>
      </c>
      <c r="L9" s="97"/>
      <c r="M9" s="97"/>
      <c r="N9" s="98"/>
      <c r="O9" s="98"/>
      <c r="P9" s="98"/>
      <c r="Q9" s="10" t="s">
        <v>29</v>
      </c>
      <c r="R9" s="11" t="s">
        <v>30</v>
      </c>
      <c r="S9" s="10" t="s">
        <v>29</v>
      </c>
      <c r="T9" s="11" t="s">
        <v>30</v>
      </c>
      <c r="U9" s="97"/>
      <c r="V9" s="98"/>
      <c r="W9" s="96"/>
      <c r="X9" s="96"/>
    </row>
    <row r="10" spans="1:24" ht="47.25" customHeight="1">
      <c r="A10" s="34" t="s">
        <v>225</v>
      </c>
      <c r="B10" s="34" t="s">
        <v>226</v>
      </c>
      <c r="C10" s="34" t="s">
        <v>46</v>
      </c>
      <c r="D10" s="29" t="s">
        <v>69</v>
      </c>
      <c r="E10" s="20" t="s">
        <v>47</v>
      </c>
      <c r="F10" s="34" t="s">
        <v>245</v>
      </c>
      <c r="G10" s="30" t="s">
        <v>36</v>
      </c>
      <c r="H10" s="27" t="s">
        <v>37</v>
      </c>
      <c r="I10" s="27" t="s">
        <v>38</v>
      </c>
      <c r="J10" s="27" t="s">
        <v>39</v>
      </c>
      <c r="K10" s="31" t="s">
        <v>40</v>
      </c>
      <c r="L10" s="35">
        <v>43268</v>
      </c>
      <c r="M10" s="35">
        <v>43270</v>
      </c>
      <c r="N10" s="31">
        <f>1137.13/2</f>
        <v>568.56500000000005</v>
      </c>
      <c r="O10" s="31">
        <f>1137.13/2</f>
        <v>568.56500000000005</v>
      </c>
      <c r="P10" s="31">
        <f>SUM(N10:O10)</f>
        <v>1137.1300000000001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1857.13</v>
      </c>
      <c r="W10" s="31">
        <f>V10</f>
        <v>1857.13</v>
      </c>
      <c r="X10" s="37"/>
    </row>
    <row r="11" spans="1:24" ht="25.5">
      <c r="A11" s="34" t="s">
        <v>228</v>
      </c>
      <c r="B11" s="34" t="s">
        <v>229</v>
      </c>
      <c r="C11" s="27" t="s">
        <v>246</v>
      </c>
      <c r="D11" s="29" t="s">
        <v>247</v>
      </c>
      <c r="E11" s="34" t="s">
        <v>248</v>
      </c>
      <c r="F11" s="34" t="s">
        <v>249</v>
      </c>
      <c r="G11" s="30" t="s">
        <v>36</v>
      </c>
      <c r="H11" s="27" t="s">
        <v>37</v>
      </c>
      <c r="I11" s="27" t="s">
        <v>38</v>
      </c>
      <c r="J11" s="27" t="s">
        <v>39</v>
      </c>
      <c r="K11" s="31" t="s">
        <v>40</v>
      </c>
      <c r="L11" s="35">
        <v>43257</v>
      </c>
      <c r="M11" s="35">
        <v>43259</v>
      </c>
      <c r="N11" s="31">
        <f>933.62/2</f>
        <v>466.81</v>
      </c>
      <c r="O11" s="31">
        <f>933.62/2</f>
        <v>466.81</v>
      </c>
      <c r="P11" s="31">
        <f t="shared" ref="P11:P20" si="0">SUM(N11:O11)</f>
        <v>933.62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20" si="1">(Q11*R11)+(S11*T11)</f>
        <v>360</v>
      </c>
      <c r="V11" s="31">
        <f t="shared" ref="V11:V15" si="2">U11+P11</f>
        <v>1293.6199999999999</v>
      </c>
      <c r="W11" s="31">
        <f t="shared" ref="W11:W20" si="3">V11</f>
        <v>1293.6199999999999</v>
      </c>
      <c r="X11" s="33"/>
    </row>
    <row r="12" spans="1:24" ht="25.5">
      <c r="A12" s="34" t="s">
        <v>228</v>
      </c>
      <c r="B12" s="34" t="s">
        <v>221</v>
      </c>
      <c r="C12" s="27" t="s">
        <v>54</v>
      </c>
      <c r="D12" s="29" t="s">
        <v>88</v>
      </c>
      <c r="E12" s="20" t="s">
        <v>55</v>
      </c>
      <c r="F12" s="34" t="s">
        <v>250</v>
      </c>
      <c r="G12" s="30" t="s">
        <v>36</v>
      </c>
      <c r="H12" s="27" t="s">
        <v>37</v>
      </c>
      <c r="I12" s="27" t="s">
        <v>38</v>
      </c>
      <c r="J12" s="27" t="s">
        <v>116</v>
      </c>
      <c r="K12" s="31" t="s">
        <v>117</v>
      </c>
      <c r="L12" s="35">
        <v>43258</v>
      </c>
      <c r="M12" s="35">
        <v>43258</v>
      </c>
      <c r="N12" s="31">
        <f>606.46/2</f>
        <v>303.23</v>
      </c>
      <c r="O12" s="31">
        <f>606.46/2</f>
        <v>303.23</v>
      </c>
      <c r="P12" s="31">
        <f t="shared" si="0"/>
        <v>606.46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966.46</v>
      </c>
      <c r="W12" s="31">
        <f t="shared" si="3"/>
        <v>966.46</v>
      </c>
      <c r="X12" s="33"/>
    </row>
    <row r="13" spans="1:24" ht="25.5">
      <c r="A13" s="34" t="s">
        <v>228</v>
      </c>
      <c r="B13" s="34" t="s">
        <v>221</v>
      </c>
      <c r="C13" s="27" t="s">
        <v>54</v>
      </c>
      <c r="D13" s="29" t="s">
        <v>88</v>
      </c>
      <c r="E13" s="20" t="s">
        <v>55</v>
      </c>
      <c r="F13" s="34" t="s">
        <v>251</v>
      </c>
      <c r="G13" s="30" t="s">
        <v>36</v>
      </c>
      <c r="H13" s="27" t="s">
        <v>37</v>
      </c>
      <c r="I13" s="27" t="s">
        <v>38</v>
      </c>
      <c r="J13" s="27" t="s">
        <v>62</v>
      </c>
      <c r="K13" s="31" t="s">
        <v>63</v>
      </c>
      <c r="L13" s="35">
        <v>43264</v>
      </c>
      <c r="M13" s="35">
        <v>43265</v>
      </c>
      <c r="N13" s="31">
        <f>968.71/2</f>
        <v>484.35500000000002</v>
      </c>
      <c r="O13" s="31">
        <f>968.71/2</f>
        <v>484.35500000000002</v>
      </c>
      <c r="P13" s="31">
        <f t="shared" si="0"/>
        <v>968.71</v>
      </c>
      <c r="Q13" s="27">
        <v>5</v>
      </c>
      <c r="R13" s="31">
        <v>120</v>
      </c>
      <c r="S13" s="27">
        <v>0</v>
      </c>
      <c r="T13" s="31">
        <v>0</v>
      </c>
      <c r="U13" s="32">
        <f t="shared" si="1"/>
        <v>600</v>
      </c>
      <c r="V13" s="31">
        <f t="shared" si="2"/>
        <v>1568.71</v>
      </c>
      <c r="W13" s="31">
        <f t="shared" si="3"/>
        <v>1568.71</v>
      </c>
      <c r="X13" s="33"/>
    </row>
    <row r="14" spans="1:24" ht="25.5">
      <c r="A14" s="34" t="s">
        <v>228</v>
      </c>
      <c r="B14" s="34" t="s">
        <v>228</v>
      </c>
      <c r="C14" s="27" t="s">
        <v>86</v>
      </c>
      <c r="D14" s="29" t="s">
        <v>252</v>
      </c>
      <c r="E14" s="20" t="s">
        <v>87</v>
      </c>
      <c r="F14" s="34" t="s">
        <v>250</v>
      </c>
      <c r="G14" s="30" t="s">
        <v>36</v>
      </c>
      <c r="H14" s="27" t="s">
        <v>37</v>
      </c>
      <c r="I14" s="27" t="s">
        <v>38</v>
      </c>
      <c r="J14" s="27" t="s">
        <v>116</v>
      </c>
      <c r="K14" s="31" t="s">
        <v>117</v>
      </c>
      <c r="L14" s="35">
        <v>43258</v>
      </c>
      <c r="M14" s="35">
        <v>43258</v>
      </c>
      <c r="N14" s="31">
        <f>606.46/2</f>
        <v>303.23</v>
      </c>
      <c r="O14" s="31">
        <f>606.46/2</f>
        <v>303.23</v>
      </c>
      <c r="P14" s="31">
        <f t="shared" si="0"/>
        <v>606.46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606.46</v>
      </c>
      <c r="W14" s="31">
        <f t="shared" si="3"/>
        <v>606.46</v>
      </c>
      <c r="X14" s="33"/>
    </row>
    <row r="15" spans="1:24" ht="25.5">
      <c r="A15" s="34" t="s">
        <v>228</v>
      </c>
      <c r="B15" s="34" t="s">
        <v>228</v>
      </c>
      <c r="C15" s="27" t="s">
        <v>86</v>
      </c>
      <c r="D15" s="29" t="s">
        <v>252</v>
      </c>
      <c r="E15" s="20" t="s">
        <v>87</v>
      </c>
      <c r="F15" s="34" t="s">
        <v>251</v>
      </c>
      <c r="G15" s="30" t="s">
        <v>36</v>
      </c>
      <c r="H15" s="27" t="s">
        <v>37</v>
      </c>
      <c r="I15" s="27" t="s">
        <v>38</v>
      </c>
      <c r="J15" s="27" t="s">
        <v>62</v>
      </c>
      <c r="K15" s="31" t="s">
        <v>63</v>
      </c>
      <c r="L15" s="35">
        <v>43264</v>
      </c>
      <c r="M15" s="35">
        <v>43265</v>
      </c>
      <c r="N15" s="31">
        <f>1007.71/2</f>
        <v>503.85500000000002</v>
      </c>
      <c r="O15" s="31">
        <f>1007.71/2</f>
        <v>503.85500000000002</v>
      </c>
      <c r="P15" s="31">
        <f t="shared" si="0"/>
        <v>1007.71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1007.71</v>
      </c>
      <c r="W15" s="31">
        <f t="shared" si="3"/>
        <v>1007.71</v>
      </c>
      <c r="X15" s="33"/>
    </row>
    <row r="16" spans="1:24" ht="25.5">
      <c r="A16" s="34" t="s">
        <v>253</v>
      </c>
      <c r="B16" s="34" t="s">
        <v>253</v>
      </c>
      <c r="C16" s="27" t="s">
        <v>223</v>
      </c>
      <c r="D16" s="29" t="s">
        <v>252</v>
      </c>
      <c r="E16" s="20" t="s">
        <v>50</v>
      </c>
      <c r="F16" s="34" t="s">
        <v>250</v>
      </c>
      <c r="G16" s="30" t="s">
        <v>36</v>
      </c>
      <c r="H16" s="27" t="s">
        <v>37</v>
      </c>
      <c r="I16" s="27" t="s">
        <v>38</v>
      </c>
      <c r="J16" s="27" t="s">
        <v>116</v>
      </c>
      <c r="K16" s="31" t="s">
        <v>117</v>
      </c>
      <c r="L16" s="35">
        <v>43258</v>
      </c>
      <c r="M16" s="35">
        <v>43258</v>
      </c>
      <c r="N16" s="31">
        <f>606.46/2</f>
        <v>303.23</v>
      </c>
      <c r="O16" s="31">
        <f>606.46/2</f>
        <v>303.23</v>
      </c>
      <c r="P16" s="31">
        <f t="shared" si="0"/>
        <v>606.46</v>
      </c>
      <c r="Q16" s="27">
        <v>0</v>
      </c>
      <c r="R16" s="31">
        <v>0</v>
      </c>
      <c r="S16" s="27">
        <v>0</v>
      </c>
      <c r="T16" s="31">
        <v>0</v>
      </c>
      <c r="U16" s="32">
        <f t="shared" si="1"/>
        <v>0</v>
      </c>
      <c r="V16" s="31">
        <f t="shared" ref="V16:V20" si="4">U16+P16</f>
        <v>606.46</v>
      </c>
      <c r="W16" s="31">
        <f t="shared" si="3"/>
        <v>606.46</v>
      </c>
      <c r="X16" s="33"/>
    </row>
    <row r="17" spans="1:24" ht="25.5">
      <c r="A17" s="34" t="s">
        <v>228</v>
      </c>
      <c r="B17" s="34" t="s">
        <v>241</v>
      </c>
      <c r="C17" s="27" t="s">
        <v>130</v>
      </c>
      <c r="D17" s="29" t="s">
        <v>131</v>
      </c>
      <c r="E17" s="34" t="s">
        <v>132</v>
      </c>
      <c r="F17" s="34" t="s">
        <v>254</v>
      </c>
      <c r="G17" s="30" t="s">
        <v>36</v>
      </c>
      <c r="H17" s="27" t="s">
        <v>37</v>
      </c>
      <c r="I17" s="27" t="s">
        <v>38</v>
      </c>
      <c r="J17" s="27" t="s">
        <v>62</v>
      </c>
      <c r="K17" s="31" t="s">
        <v>63</v>
      </c>
      <c r="L17" s="35">
        <v>43270</v>
      </c>
      <c r="M17" s="35">
        <v>43272</v>
      </c>
      <c r="N17" s="31">
        <v>544.79</v>
      </c>
      <c r="O17" s="31">
        <v>544.79</v>
      </c>
      <c r="P17" s="31">
        <f t="shared" si="0"/>
        <v>1089.58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4"/>
        <v>1449.58</v>
      </c>
      <c r="W17" s="31">
        <f t="shared" si="3"/>
        <v>1449.58</v>
      </c>
      <c r="X17" s="33"/>
    </row>
    <row r="18" spans="1:24" ht="38.25">
      <c r="A18" s="34" t="s">
        <v>253</v>
      </c>
      <c r="B18" s="34" t="s">
        <v>234</v>
      </c>
      <c r="C18" s="27" t="s">
        <v>255</v>
      </c>
      <c r="D18" s="29" t="s">
        <v>256</v>
      </c>
      <c r="E18" s="20" t="s">
        <v>257</v>
      </c>
      <c r="F18" s="34" t="s">
        <v>258</v>
      </c>
      <c r="G18" s="30" t="s">
        <v>36</v>
      </c>
      <c r="H18" s="27" t="s">
        <v>37</v>
      </c>
      <c r="I18" s="27" t="s">
        <v>38</v>
      </c>
      <c r="J18" s="27" t="s">
        <v>62</v>
      </c>
      <c r="K18" s="31" t="s">
        <v>63</v>
      </c>
      <c r="L18" s="35">
        <v>43270</v>
      </c>
      <c r="M18" s="35">
        <v>43271</v>
      </c>
      <c r="N18" s="31">
        <f>670.28/2</f>
        <v>335.14</v>
      </c>
      <c r="O18" s="31">
        <f>670.28/2</f>
        <v>335.14</v>
      </c>
      <c r="P18" s="31">
        <f t="shared" si="0"/>
        <v>670.28</v>
      </c>
      <c r="Q18" s="27">
        <v>3</v>
      </c>
      <c r="R18" s="31">
        <v>120</v>
      </c>
      <c r="S18" s="27">
        <v>0</v>
      </c>
      <c r="T18" s="31">
        <v>0</v>
      </c>
      <c r="U18" s="32">
        <f t="shared" si="1"/>
        <v>360</v>
      </c>
      <c r="V18" s="31">
        <f t="shared" si="4"/>
        <v>1030.28</v>
      </c>
      <c r="W18" s="31">
        <f t="shared" si="3"/>
        <v>1030.28</v>
      </c>
      <c r="X18" s="33"/>
    </row>
    <row r="19" spans="1:24" ht="25.5">
      <c r="A19" s="34" t="s">
        <v>253</v>
      </c>
      <c r="B19" s="34" t="s">
        <v>259</v>
      </c>
      <c r="C19" s="27" t="s">
        <v>192</v>
      </c>
      <c r="D19" s="29" t="s">
        <v>193</v>
      </c>
      <c r="E19" s="20" t="s">
        <v>257</v>
      </c>
      <c r="F19" s="34" t="s">
        <v>260</v>
      </c>
      <c r="G19" s="30" t="s">
        <v>36</v>
      </c>
      <c r="H19" s="27" t="s">
        <v>37</v>
      </c>
      <c r="I19" s="27" t="s">
        <v>38</v>
      </c>
      <c r="J19" s="27" t="s">
        <v>37</v>
      </c>
      <c r="K19" s="27" t="s">
        <v>261</v>
      </c>
      <c r="L19" s="35">
        <v>43269</v>
      </c>
      <c r="M19" s="35">
        <v>43269</v>
      </c>
      <c r="N19" s="31">
        <v>0</v>
      </c>
      <c r="O19" s="31">
        <v>0</v>
      </c>
      <c r="P19" s="31">
        <f t="shared" si="0"/>
        <v>0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4"/>
        <v>0</v>
      </c>
      <c r="W19" s="31">
        <f t="shared" si="3"/>
        <v>0</v>
      </c>
      <c r="X19" s="33" t="s">
        <v>262</v>
      </c>
    </row>
    <row r="20" spans="1:24" ht="38.25">
      <c r="A20" s="34" t="s">
        <v>253</v>
      </c>
      <c r="B20" s="34" t="s">
        <v>259</v>
      </c>
      <c r="C20" s="27" t="s">
        <v>263</v>
      </c>
      <c r="D20" s="29" t="s">
        <v>264</v>
      </c>
      <c r="E20" s="20" t="s">
        <v>265</v>
      </c>
      <c r="F20" s="34" t="s">
        <v>260</v>
      </c>
      <c r="G20" s="30" t="s">
        <v>36</v>
      </c>
      <c r="H20" s="27" t="s">
        <v>37</v>
      </c>
      <c r="I20" s="27" t="s">
        <v>38</v>
      </c>
      <c r="J20" s="27" t="s">
        <v>37</v>
      </c>
      <c r="K20" s="27" t="s">
        <v>261</v>
      </c>
      <c r="L20" s="35">
        <v>43269</v>
      </c>
      <c r="M20" s="35">
        <v>43269</v>
      </c>
      <c r="N20" s="31">
        <v>0</v>
      </c>
      <c r="O20" s="31">
        <v>0</v>
      </c>
      <c r="P20" s="31">
        <f t="shared" si="0"/>
        <v>0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4"/>
        <v>0</v>
      </c>
      <c r="W20" s="31">
        <f t="shared" si="3"/>
        <v>0</v>
      </c>
      <c r="X20" s="33" t="s">
        <v>262</v>
      </c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24"/>
  <sheetViews>
    <sheetView topLeftCell="A7" workbookViewId="0">
      <selection activeCell="A24" sqref="A24:B24"/>
    </sheetView>
  </sheetViews>
  <sheetFormatPr defaultRowHeight="15" customHeight="1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62" t="s">
        <v>0</v>
      </c>
      <c r="W5" s="162"/>
      <c r="X5" s="8">
        <v>43282</v>
      </c>
    </row>
    <row r="6" spans="1:24">
      <c r="A6" s="96" t="s">
        <v>1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</row>
    <row r="7" spans="1:24">
      <c r="A7" s="96" t="s">
        <v>2</v>
      </c>
      <c r="B7" s="96"/>
      <c r="C7" s="96" t="s">
        <v>3</v>
      </c>
      <c r="D7" s="96"/>
      <c r="E7" s="96"/>
      <c r="F7" s="96" t="s">
        <v>4</v>
      </c>
      <c r="G7" s="96"/>
      <c r="H7" s="96"/>
      <c r="I7" s="96"/>
      <c r="J7" s="96"/>
      <c r="K7" s="96"/>
      <c r="L7" s="96"/>
      <c r="M7" s="96"/>
      <c r="N7" s="96" t="s">
        <v>5</v>
      </c>
      <c r="O7" s="96"/>
      <c r="P7" s="96"/>
      <c r="Q7" s="96" t="s">
        <v>6</v>
      </c>
      <c r="R7" s="96"/>
      <c r="S7" s="96"/>
      <c r="T7" s="96"/>
      <c r="U7" s="96"/>
      <c r="V7" s="96"/>
      <c r="W7" s="96" t="s">
        <v>7</v>
      </c>
      <c r="X7" s="96" t="s">
        <v>8</v>
      </c>
    </row>
    <row r="8" spans="1:24" s="9" customFormat="1">
      <c r="A8" s="97" t="s">
        <v>9</v>
      </c>
      <c r="B8" s="97" t="s">
        <v>10</v>
      </c>
      <c r="C8" s="97" t="s">
        <v>11</v>
      </c>
      <c r="D8" s="97" t="s">
        <v>12</v>
      </c>
      <c r="E8" s="97" t="s">
        <v>13</v>
      </c>
      <c r="F8" s="97" t="s">
        <v>14</v>
      </c>
      <c r="G8" s="97" t="s">
        <v>15</v>
      </c>
      <c r="H8" s="97" t="s">
        <v>16</v>
      </c>
      <c r="I8" s="97"/>
      <c r="J8" s="98" t="s">
        <v>17</v>
      </c>
      <c r="K8" s="98"/>
      <c r="L8" s="97" t="s">
        <v>18</v>
      </c>
      <c r="M8" s="97" t="s">
        <v>19</v>
      </c>
      <c r="N8" s="98" t="s">
        <v>20</v>
      </c>
      <c r="O8" s="98" t="s">
        <v>21</v>
      </c>
      <c r="P8" s="98" t="s">
        <v>22</v>
      </c>
      <c r="Q8" s="98" t="s">
        <v>23</v>
      </c>
      <c r="R8" s="98"/>
      <c r="S8" s="98" t="s">
        <v>24</v>
      </c>
      <c r="T8" s="98"/>
      <c r="U8" s="97" t="s">
        <v>25</v>
      </c>
      <c r="V8" s="98" t="s">
        <v>22</v>
      </c>
      <c r="W8" s="96"/>
      <c r="X8" s="96"/>
    </row>
    <row r="9" spans="1:24" s="9" customFormat="1" ht="17.25" customHeight="1">
      <c r="A9" s="97"/>
      <c r="B9" s="97"/>
      <c r="C9" s="97"/>
      <c r="D9" s="97"/>
      <c r="E9" s="97"/>
      <c r="F9" s="97"/>
      <c r="G9" s="97"/>
      <c r="H9" s="10" t="s">
        <v>26</v>
      </c>
      <c r="I9" s="10" t="s">
        <v>27</v>
      </c>
      <c r="J9" s="10" t="s">
        <v>26</v>
      </c>
      <c r="K9" s="11" t="s">
        <v>28</v>
      </c>
      <c r="L9" s="97"/>
      <c r="M9" s="97"/>
      <c r="N9" s="98"/>
      <c r="O9" s="98"/>
      <c r="P9" s="98"/>
      <c r="Q9" s="10" t="s">
        <v>29</v>
      </c>
      <c r="R9" s="11" t="s">
        <v>30</v>
      </c>
      <c r="S9" s="10" t="s">
        <v>29</v>
      </c>
      <c r="T9" s="11" t="s">
        <v>30</v>
      </c>
      <c r="U9" s="97"/>
      <c r="V9" s="98"/>
      <c r="W9" s="96"/>
      <c r="X9" s="96"/>
    </row>
    <row r="10" spans="1:24" ht="47.25" customHeight="1">
      <c r="A10" s="34" t="s">
        <v>228</v>
      </c>
      <c r="B10" s="34" t="s">
        <v>266</v>
      </c>
      <c r="C10" s="34" t="s">
        <v>267</v>
      </c>
      <c r="D10" s="29" t="s">
        <v>145</v>
      </c>
      <c r="E10" s="20" t="s">
        <v>146</v>
      </c>
      <c r="F10" s="34" t="s">
        <v>268</v>
      </c>
      <c r="G10" s="30" t="s">
        <v>36</v>
      </c>
      <c r="H10" s="27" t="s">
        <v>37</v>
      </c>
      <c r="I10" s="27" t="s">
        <v>38</v>
      </c>
      <c r="J10" s="27" t="s">
        <v>116</v>
      </c>
      <c r="K10" s="31" t="s">
        <v>117</v>
      </c>
      <c r="L10" s="35">
        <v>43304</v>
      </c>
      <c r="M10" s="35">
        <v>43306</v>
      </c>
      <c r="N10" s="31">
        <f>450.41/2</f>
        <v>225.20500000000001</v>
      </c>
      <c r="O10" s="31">
        <f>450.41/2</f>
        <v>225.20500000000001</v>
      </c>
      <c r="P10" s="31">
        <f>SUM(N10:O10)</f>
        <v>450.41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810.41000000000008</v>
      </c>
      <c r="W10" s="31">
        <f>V10</f>
        <v>810.41000000000008</v>
      </c>
      <c r="X10" s="37"/>
    </row>
    <row r="11" spans="1:24" ht="38.25">
      <c r="A11" s="34" t="s">
        <v>228</v>
      </c>
      <c r="B11" s="34" t="s">
        <v>266</v>
      </c>
      <c r="C11" s="27" t="s">
        <v>158</v>
      </c>
      <c r="D11" s="29" t="s">
        <v>159</v>
      </c>
      <c r="E11" s="34" t="s">
        <v>269</v>
      </c>
      <c r="F11" s="34" t="s">
        <v>268</v>
      </c>
      <c r="G11" s="30" t="s">
        <v>36</v>
      </c>
      <c r="H11" s="27" t="s">
        <v>37</v>
      </c>
      <c r="I11" s="27" t="s">
        <v>38</v>
      </c>
      <c r="J11" s="27" t="s">
        <v>116</v>
      </c>
      <c r="K11" s="31" t="s">
        <v>117</v>
      </c>
      <c r="L11" s="35">
        <v>43304</v>
      </c>
      <c r="M11" s="35">
        <v>43306</v>
      </c>
      <c r="N11" s="31">
        <f>450.41/2</f>
        <v>225.20500000000001</v>
      </c>
      <c r="O11" s="31">
        <f>450.41/2</f>
        <v>225.20500000000001</v>
      </c>
      <c r="P11" s="31">
        <f t="shared" ref="P11:P24" si="0">SUM(N11:O11)</f>
        <v>450.41</v>
      </c>
      <c r="Q11" s="27">
        <v>9</v>
      </c>
      <c r="R11" s="31">
        <v>120</v>
      </c>
      <c r="S11" s="27">
        <v>0</v>
      </c>
      <c r="T11" s="31">
        <v>0</v>
      </c>
      <c r="U11" s="32">
        <f t="shared" ref="U11:U24" si="1">(Q11*R11)+(S11*T11)</f>
        <v>1080</v>
      </c>
      <c r="V11" s="31">
        <f t="shared" ref="V11:V20" si="2">U11+P11</f>
        <v>1530.41</v>
      </c>
      <c r="W11" s="31">
        <f t="shared" ref="W11:W24" si="3">V11</f>
        <v>1530.41</v>
      </c>
      <c r="X11" s="33"/>
    </row>
    <row r="12" spans="1:24" ht="25.5">
      <c r="A12" s="34" t="s">
        <v>253</v>
      </c>
      <c r="B12" s="34" t="s">
        <v>212</v>
      </c>
      <c r="C12" s="27" t="s">
        <v>270</v>
      </c>
      <c r="D12" s="29" t="s">
        <v>168</v>
      </c>
      <c r="E12" s="20" t="s">
        <v>271</v>
      </c>
      <c r="F12" s="34" t="s">
        <v>268</v>
      </c>
      <c r="G12" s="30" t="s">
        <v>36</v>
      </c>
      <c r="H12" s="27" t="s">
        <v>37</v>
      </c>
      <c r="I12" s="27" t="s">
        <v>38</v>
      </c>
      <c r="J12" s="27" t="s">
        <v>116</v>
      </c>
      <c r="K12" s="31" t="s">
        <v>117</v>
      </c>
      <c r="L12" s="35">
        <v>43304</v>
      </c>
      <c r="M12" s="35">
        <v>43306</v>
      </c>
      <c r="N12" s="31">
        <f>579.25/2</f>
        <v>289.625</v>
      </c>
      <c r="O12" s="31">
        <f>579.25/2</f>
        <v>289.625</v>
      </c>
      <c r="P12" s="31">
        <f t="shared" si="0"/>
        <v>579.25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939.25</v>
      </c>
      <c r="W12" s="31">
        <f t="shared" si="3"/>
        <v>939.25</v>
      </c>
      <c r="X12" s="33"/>
    </row>
    <row r="13" spans="1:24" ht="38.25">
      <c r="A13" s="34" t="s">
        <v>272</v>
      </c>
      <c r="B13" s="34" t="s">
        <v>273</v>
      </c>
      <c r="C13" s="27" t="s">
        <v>195</v>
      </c>
      <c r="D13" s="29" t="s">
        <v>196</v>
      </c>
      <c r="E13" s="20" t="s">
        <v>197</v>
      </c>
      <c r="F13" s="34" t="s">
        <v>274</v>
      </c>
      <c r="G13" s="30" t="s">
        <v>36</v>
      </c>
      <c r="H13" s="27" t="s">
        <v>37</v>
      </c>
      <c r="I13" s="27" t="s">
        <v>38</v>
      </c>
      <c r="J13" s="27" t="s">
        <v>109</v>
      </c>
      <c r="K13" s="31" t="s">
        <v>110</v>
      </c>
      <c r="L13" s="35">
        <v>43284</v>
      </c>
      <c r="M13" s="35">
        <v>43286</v>
      </c>
      <c r="N13" s="31">
        <f>1322.07/2</f>
        <v>661.03499999999997</v>
      </c>
      <c r="O13" s="31">
        <f>1322.07/2</f>
        <v>661.03499999999997</v>
      </c>
      <c r="P13" s="31">
        <f t="shared" si="0"/>
        <v>1322.07</v>
      </c>
      <c r="Q13" s="27">
        <v>3</v>
      </c>
      <c r="R13" s="31">
        <v>120</v>
      </c>
      <c r="S13" s="27">
        <v>2</v>
      </c>
      <c r="T13" s="31">
        <v>100</v>
      </c>
      <c r="U13" s="32">
        <f t="shared" si="1"/>
        <v>560</v>
      </c>
      <c r="V13" s="31">
        <f t="shared" si="2"/>
        <v>1882.07</v>
      </c>
      <c r="W13" s="31">
        <f t="shared" si="3"/>
        <v>1882.07</v>
      </c>
      <c r="X13" s="33"/>
    </row>
    <row r="14" spans="1:24" ht="38.25">
      <c r="A14" s="34" t="s">
        <v>272</v>
      </c>
      <c r="B14" s="34" t="s">
        <v>226</v>
      </c>
      <c r="C14" s="27" t="s">
        <v>46</v>
      </c>
      <c r="D14" s="29" t="s">
        <v>69</v>
      </c>
      <c r="E14" s="20" t="s">
        <v>47</v>
      </c>
      <c r="F14" s="34" t="s">
        <v>275</v>
      </c>
      <c r="G14" s="30" t="s">
        <v>36</v>
      </c>
      <c r="H14" s="27" t="s">
        <v>37</v>
      </c>
      <c r="I14" s="27" t="s">
        <v>38</v>
      </c>
      <c r="J14" s="27" t="s">
        <v>39</v>
      </c>
      <c r="K14" s="31" t="s">
        <v>40</v>
      </c>
      <c r="L14" s="35">
        <v>43298</v>
      </c>
      <c r="M14" s="35">
        <v>43300</v>
      </c>
      <c r="N14" s="31">
        <f>991.37/2</f>
        <v>495.685</v>
      </c>
      <c r="O14" s="31">
        <f>991.37/2</f>
        <v>495.685</v>
      </c>
      <c r="P14" s="31">
        <f t="shared" si="0"/>
        <v>991.37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1711.37</v>
      </c>
      <c r="W14" s="31">
        <f t="shared" si="3"/>
        <v>1711.37</v>
      </c>
      <c r="X14" s="33"/>
    </row>
    <row r="15" spans="1:24" ht="38.25">
      <c r="A15" s="34" t="s">
        <v>228</v>
      </c>
      <c r="B15" s="34" t="s">
        <v>266</v>
      </c>
      <c r="C15" s="27" t="s">
        <v>267</v>
      </c>
      <c r="D15" s="29" t="s">
        <v>145</v>
      </c>
      <c r="E15" s="20" t="s">
        <v>146</v>
      </c>
      <c r="F15" s="34" t="s">
        <v>276</v>
      </c>
      <c r="G15" s="30" t="s">
        <v>36</v>
      </c>
      <c r="H15" s="27" t="s">
        <v>37</v>
      </c>
      <c r="I15" s="27" t="s">
        <v>38</v>
      </c>
      <c r="J15" s="27" t="s">
        <v>62</v>
      </c>
      <c r="K15" s="31" t="s">
        <v>63</v>
      </c>
      <c r="L15" s="35">
        <v>43298</v>
      </c>
      <c r="M15" s="35">
        <v>43301</v>
      </c>
      <c r="N15" s="31">
        <f>907.15/2</f>
        <v>453.57499999999999</v>
      </c>
      <c r="O15" s="31">
        <f>907.15/2</f>
        <v>453.57499999999999</v>
      </c>
      <c r="P15" s="31">
        <f t="shared" si="0"/>
        <v>907.15</v>
      </c>
      <c r="Q15" s="27">
        <v>4</v>
      </c>
      <c r="R15" s="31">
        <v>120</v>
      </c>
      <c r="S15" s="27">
        <v>0</v>
      </c>
      <c r="T15" s="31">
        <v>0</v>
      </c>
      <c r="U15" s="32">
        <f t="shared" si="1"/>
        <v>480</v>
      </c>
      <c r="V15" s="31">
        <f t="shared" si="2"/>
        <v>1387.15</v>
      </c>
      <c r="W15" s="31">
        <f t="shared" si="3"/>
        <v>1387.15</v>
      </c>
      <c r="X15" s="33"/>
    </row>
    <row r="16" spans="1:24" ht="38.25">
      <c r="A16" s="34" t="s">
        <v>228</v>
      </c>
      <c r="B16" s="34" t="s">
        <v>221</v>
      </c>
      <c r="C16" s="27" t="s">
        <v>277</v>
      </c>
      <c r="D16" s="29" t="s">
        <v>278</v>
      </c>
      <c r="E16" s="20" t="s">
        <v>146</v>
      </c>
      <c r="F16" s="34" t="s">
        <v>276</v>
      </c>
      <c r="G16" s="30" t="s">
        <v>36</v>
      </c>
      <c r="H16" s="27" t="s">
        <v>37</v>
      </c>
      <c r="I16" s="27" t="s">
        <v>38</v>
      </c>
      <c r="J16" s="27" t="s">
        <v>62</v>
      </c>
      <c r="K16" s="31" t="s">
        <v>63</v>
      </c>
      <c r="L16" s="35">
        <v>43298</v>
      </c>
      <c r="M16" s="35">
        <v>43301</v>
      </c>
      <c r="N16" s="31">
        <v>544.22</v>
      </c>
      <c r="O16" s="31">
        <v>383.17</v>
      </c>
      <c r="P16" s="31">
        <f t="shared" si="0"/>
        <v>927.3900000000001</v>
      </c>
      <c r="Q16" s="27">
        <v>8</v>
      </c>
      <c r="R16" s="31">
        <v>120</v>
      </c>
      <c r="S16" s="27">
        <v>0</v>
      </c>
      <c r="T16" s="31">
        <v>0</v>
      </c>
      <c r="U16" s="32">
        <f t="shared" si="1"/>
        <v>960</v>
      </c>
      <c r="V16" s="31">
        <f t="shared" si="2"/>
        <v>1887.39</v>
      </c>
      <c r="W16" s="31">
        <f t="shared" si="3"/>
        <v>1887.39</v>
      </c>
      <c r="X16" s="33"/>
    </row>
    <row r="17" spans="1:24" ht="25.5">
      <c r="A17" s="34" t="s">
        <v>228</v>
      </c>
      <c r="B17" s="34" t="s">
        <v>221</v>
      </c>
      <c r="C17" s="27" t="s">
        <v>54</v>
      </c>
      <c r="D17" s="29" t="s">
        <v>88</v>
      </c>
      <c r="E17" s="20" t="s">
        <v>55</v>
      </c>
      <c r="F17" s="34" t="s">
        <v>268</v>
      </c>
      <c r="G17" s="30" t="s">
        <v>36</v>
      </c>
      <c r="H17" s="27" t="s">
        <v>37</v>
      </c>
      <c r="I17" s="27" t="s">
        <v>38</v>
      </c>
      <c r="J17" s="27" t="s">
        <v>116</v>
      </c>
      <c r="K17" s="31" t="s">
        <v>117</v>
      </c>
      <c r="L17" s="35">
        <v>43304</v>
      </c>
      <c r="M17" s="35">
        <v>43306</v>
      </c>
      <c r="N17" s="31">
        <v>24</v>
      </c>
      <c r="O17" s="31">
        <v>1</v>
      </c>
      <c r="P17" s="31">
        <f t="shared" si="0"/>
        <v>25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745</v>
      </c>
      <c r="W17" s="31">
        <f t="shared" si="3"/>
        <v>745</v>
      </c>
      <c r="X17" s="33"/>
    </row>
    <row r="18" spans="1:24" ht="25.5">
      <c r="A18" s="34" t="s">
        <v>228</v>
      </c>
      <c r="B18" s="34" t="s">
        <v>228</v>
      </c>
      <c r="C18" s="27" t="s">
        <v>86</v>
      </c>
      <c r="D18" s="29" t="s">
        <v>107</v>
      </c>
      <c r="E18" s="20" t="s">
        <v>87</v>
      </c>
      <c r="F18" s="34" t="s">
        <v>279</v>
      </c>
      <c r="G18" s="30" t="s">
        <v>36</v>
      </c>
      <c r="H18" s="27" t="s">
        <v>37</v>
      </c>
      <c r="I18" s="27" t="s">
        <v>38</v>
      </c>
      <c r="J18" s="27" t="s">
        <v>39</v>
      </c>
      <c r="K18" s="31" t="s">
        <v>40</v>
      </c>
      <c r="L18" s="35">
        <v>43293</v>
      </c>
      <c r="M18" s="35">
        <v>43294</v>
      </c>
      <c r="N18" s="31">
        <v>377.67</v>
      </c>
      <c r="O18" s="31">
        <v>799.86</v>
      </c>
      <c r="P18" s="31">
        <f t="shared" si="0"/>
        <v>1177.53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1177.53</v>
      </c>
      <c r="W18" s="31">
        <f t="shared" si="3"/>
        <v>1177.53</v>
      </c>
      <c r="X18" s="33"/>
    </row>
    <row r="19" spans="1:24" ht="25.5">
      <c r="A19" s="34" t="s">
        <v>228</v>
      </c>
      <c r="B19" s="34" t="s">
        <v>221</v>
      </c>
      <c r="C19" s="27" t="s">
        <v>54</v>
      </c>
      <c r="D19" s="29" t="s">
        <v>88</v>
      </c>
      <c r="E19" s="20" t="s">
        <v>55</v>
      </c>
      <c r="F19" s="34" t="s">
        <v>279</v>
      </c>
      <c r="G19" s="30" t="s">
        <v>36</v>
      </c>
      <c r="H19" s="27" t="s">
        <v>37</v>
      </c>
      <c r="I19" s="27" t="s">
        <v>38</v>
      </c>
      <c r="J19" s="27" t="s">
        <v>39</v>
      </c>
      <c r="K19" s="31" t="s">
        <v>40</v>
      </c>
      <c r="L19" s="35">
        <v>43293</v>
      </c>
      <c r="M19" s="35">
        <v>43294</v>
      </c>
      <c r="N19" s="31">
        <v>358.17</v>
      </c>
      <c r="O19" s="31">
        <v>799.86</v>
      </c>
      <c r="P19" s="31">
        <f t="shared" si="0"/>
        <v>1158.03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1638.03</v>
      </c>
      <c r="W19" s="31">
        <f t="shared" si="3"/>
        <v>1638.03</v>
      </c>
      <c r="X19" s="33"/>
    </row>
    <row r="20" spans="1:24" ht="38.25">
      <c r="A20" s="34" t="s">
        <v>272</v>
      </c>
      <c r="B20" s="34" t="s">
        <v>272</v>
      </c>
      <c r="C20" s="27" t="s">
        <v>79</v>
      </c>
      <c r="D20" s="29" t="s">
        <v>107</v>
      </c>
      <c r="E20" s="20" t="s">
        <v>80</v>
      </c>
      <c r="F20" s="34" t="s">
        <v>279</v>
      </c>
      <c r="G20" s="30" t="s">
        <v>36</v>
      </c>
      <c r="H20" s="27" t="s">
        <v>37</v>
      </c>
      <c r="I20" s="27" t="s">
        <v>38</v>
      </c>
      <c r="J20" s="27" t="s">
        <v>39</v>
      </c>
      <c r="K20" s="31" t="s">
        <v>40</v>
      </c>
      <c r="L20" s="35">
        <v>43293</v>
      </c>
      <c r="M20" s="35">
        <v>43294</v>
      </c>
      <c r="N20" s="39">
        <f>1858.02/2</f>
        <v>929.01</v>
      </c>
      <c r="O20" s="39">
        <f>1858.02/2</f>
        <v>929.01</v>
      </c>
      <c r="P20" s="31">
        <f t="shared" si="0"/>
        <v>1858.02</v>
      </c>
      <c r="Q20" s="27">
        <v>0</v>
      </c>
      <c r="R20" s="31">
        <v>0</v>
      </c>
      <c r="S20" s="40">
        <v>0</v>
      </c>
      <c r="T20" s="39">
        <v>0</v>
      </c>
      <c r="U20" s="41">
        <f t="shared" si="1"/>
        <v>0</v>
      </c>
      <c r="V20" s="39">
        <f t="shared" si="2"/>
        <v>1858.02</v>
      </c>
      <c r="W20" s="39">
        <f t="shared" si="3"/>
        <v>1858.02</v>
      </c>
      <c r="X20" s="42"/>
    </row>
    <row r="21" spans="1:24" ht="25.5">
      <c r="A21" s="34" t="s">
        <v>253</v>
      </c>
      <c r="B21" s="34" t="s">
        <v>253</v>
      </c>
      <c r="C21" s="27" t="s">
        <v>223</v>
      </c>
      <c r="D21" s="29" t="s">
        <v>252</v>
      </c>
      <c r="E21" s="20" t="s">
        <v>50</v>
      </c>
      <c r="F21" s="34" t="s">
        <v>279</v>
      </c>
      <c r="G21" s="30" t="s">
        <v>36</v>
      </c>
      <c r="H21" s="27" t="s">
        <v>37</v>
      </c>
      <c r="I21" s="27" t="s">
        <v>38</v>
      </c>
      <c r="J21" s="27" t="s">
        <v>39</v>
      </c>
      <c r="K21" s="31" t="s">
        <v>40</v>
      </c>
      <c r="L21" s="35">
        <v>43293</v>
      </c>
      <c r="M21" s="38">
        <v>43294</v>
      </c>
      <c r="N21" s="45">
        <f>1271.33/2</f>
        <v>635.66499999999996</v>
      </c>
      <c r="O21" s="45">
        <f>1271.33/2</f>
        <v>635.66499999999996</v>
      </c>
      <c r="P21" s="48">
        <f t="shared" si="0"/>
        <v>1271.33</v>
      </c>
      <c r="Q21" s="27">
        <v>0</v>
      </c>
      <c r="R21" s="39">
        <v>0</v>
      </c>
      <c r="S21" s="40">
        <v>0</v>
      </c>
      <c r="T21" s="39">
        <v>0</v>
      </c>
      <c r="U21" s="41">
        <f t="shared" si="1"/>
        <v>0</v>
      </c>
      <c r="V21" s="39">
        <f>U21+P21</f>
        <v>1271.33</v>
      </c>
      <c r="W21" s="39">
        <f t="shared" si="3"/>
        <v>1271.33</v>
      </c>
      <c r="X21" s="44"/>
    </row>
    <row r="22" spans="1:24" ht="38.25" customHeight="1">
      <c r="A22" s="111" t="s">
        <v>272</v>
      </c>
      <c r="B22" s="111" t="s">
        <v>272</v>
      </c>
      <c r="C22" s="113" t="s">
        <v>79</v>
      </c>
      <c r="D22" s="107" t="s">
        <v>107</v>
      </c>
      <c r="E22" s="109" t="s">
        <v>80</v>
      </c>
      <c r="F22" s="111" t="s">
        <v>280</v>
      </c>
      <c r="G22" s="30" t="s">
        <v>36</v>
      </c>
      <c r="H22" s="27" t="s">
        <v>39</v>
      </c>
      <c r="I22" s="27" t="s">
        <v>40</v>
      </c>
      <c r="J22" s="27" t="s">
        <v>281</v>
      </c>
      <c r="K22" s="31" t="s">
        <v>110</v>
      </c>
      <c r="L22" s="35">
        <v>43307</v>
      </c>
      <c r="M22" s="38"/>
      <c r="N22" s="45">
        <f>1406.06/2</f>
        <v>703.03</v>
      </c>
      <c r="O22" s="45"/>
      <c r="P22" s="48">
        <f t="shared" si="0"/>
        <v>703.03</v>
      </c>
      <c r="Q22" s="103">
        <v>0</v>
      </c>
      <c r="R22" s="99">
        <v>0</v>
      </c>
      <c r="S22" s="105">
        <v>0</v>
      </c>
      <c r="T22" s="99">
        <v>0</v>
      </c>
      <c r="U22" s="106">
        <f t="shared" si="1"/>
        <v>0</v>
      </c>
      <c r="V22" s="99">
        <f>P22+P23</f>
        <v>1406.06</v>
      </c>
      <c r="W22" s="100">
        <f t="shared" si="3"/>
        <v>1406.06</v>
      </c>
      <c r="X22" s="102"/>
    </row>
    <row r="23" spans="1:24" ht="38.25" customHeight="1">
      <c r="A23" s="112"/>
      <c r="B23" s="112"/>
      <c r="C23" s="114"/>
      <c r="D23" s="108"/>
      <c r="E23" s="110"/>
      <c r="F23" s="112"/>
      <c r="G23" s="30" t="s">
        <v>36</v>
      </c>
      <c r="H23" s="27" t="s">
        <v>281</v>
      </c>
      <c r="I23" s="27" t="s">
        <v>110</v>
      </c>
      <c r="J23" s="27" t="s">
        <v>37</v>
      </c>
      <c r="K23" s="31" t="s">
        <v>38</v>
      </c>
      <c r="L23" s="35"/>
      <c r="M23" s="35">
        <v>43308</v>
      </c>
      <c r="N23" s="43"/>
      <c r="O23" s="43">
        <f>1406.06/2</f>
        <v>703.03</v>
      </c>
      <c r="P23" s="31">
        <f t="shared" si="0"/>
        <v>703.03</v>
      </c>
      <c r="Q23" s="104"/>
      <c r="R23" s="99"/>
      <c r="S23" s="105"/>
      <c r="T23" s="99"/>
      <c r="U23" s="106"/>
      <c r="V23" s="99"/>
      <c r="W23" s="101"/>
      <c r="X23" s="102"/>
    </row>
    <row r="24" spans="1:24" ht="43.5" customHeight="1">
      <c r="A24" s="34" t="s">
        <v>253</v>
      </c>
      <c r="B24" s="34" t="s">
        <v>253</v>
      </c>
      <c r="C24" s="27" t="s">
        <v>223</v>
      </c>
      <c r="D24" s="29" t="s">
        <v>252</v>
      </c>
      <c r="E24" s="20" t="s">
        <v>50</v>
      </c>
      <c r="F24" s="34" t="s">
        <v>280</v>
      </c>
      <c r="G24" s="30" t="s">
        <v>36</v>
      </c>
      <c r="H24" s="27" t="s">
        <v>37</v>
      </c>
      <c r="I24" s="27" t="s">
        <v>38</v>
      </c>
      <c r="J24" s="27" t="s">
        <v>281</v>
      </c>
      <c r="K24" s="31" t="s">
        <v>110</v>
      </c>
      <c r="L24" s="35">
        <v>43308</v>
      </c>
      <c r="M24" s="38">
        <v>43308</v>
      </c>
      <c r="N24" s="45">
        <f>1271.33/2</f>
        <v>635.66499999999996</v>
      </c>
      <c r="O24" s="45">
        <f>1271.33/2</f>
        <v>635.66499999999996</v>
      </c>
      <c r="P24" s="31">
        <f t="shared" si="0"/>
        <v>1271.33</v>
      </c>
      <c r="Q24" s="49">
        <v>0</v>
      </c>
      <c r="R24" s="45">
        <v>0</v>
      </c>
      <c r="S24" s="47">
        <v>0</v>
      </c>
      <c r="T24" s="45">
        <v>0</v>
      </c>
      <c r="U24" s="46">
        <f t="shared" si="1"/>
        <v>0</v>
      </c>
      <c r="V24" s="45">
        <f>P24+U24</f>
        <v>1271.33</v>
      </c>
      <c r="W24" s="45">
        <f t="shared" si="3"/>
        <v>1271.33</v>
      </c>
      <c r="X24" s="44"/>
    </row>
  </sheetData>
  <mergeCells count="41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D22:D23"/>
    <mergeCell ref="E22:E23"/>
    <mergeCell ref="F22:F23"/>
    <mergeCell ref="A22:A23"/>
    <mergeCell ref="B22:B23"/>
    <mergeCell ref="C22:C23"/>
    <mergeCell ref="V22:V23"/>
    <mergeCell ref="W22:W23"/>
    <mergeCell ref="X22:X23"/>
    <mergeCell ref="Q22:Q23"/>
    <mergeCell ref="R22:R23"/>
    <mergeCell ref="S22:S23"/>
    <mergeCell ref="T22:T23"/>
    <mergeCell ref="U22:U23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X26"/>
  <sheetViews>
    <sheetView topLeftCell="A4" workbookViewId="0">
      <selection activeCell="D16" sqref="D16:E16"/>
    </sheetView>
  </sheetViews>
  <sheetFormatPr defaultRowHeight="15" customHeight="1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62" t="s">
        <v>0</v>
      </c>
      <c r="W5" s="162"/>
      <c r="X5" s="8">
        <v>43313</v>
      </c>
    </row>
    <row r="6" spans="1:24">
      <c r="A6" s="96" t="s">
        <v>1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</row>
    <row r="7" spans="1:24">
      <c r="A7" s="96" t="s">
        <v>2</v>
      </c>
      <c r="B7" s="96"/>
      <c r="C7" s="96" t="s">
        <v>3</v>
      </c>
      <c r="D7" s="96"/>
      <c r="E7" s="96"/>
      <c r="F7" s="96" t="s">
        <v>4</v>
      </c>
      <c r="G7" s="96"/>
      <c r="H7" s="96"/>
      <c r="I7" s="96"/>
      <c r="J7" s="96"/>
      <c r="K7" s="96"/>
      <c r="L7" s="96"/>
      <c r="M7" s="96"/>
      <c r="N7" s="96" t="s">
        <v>5</v>
      </c>
      <c r="O7" s="96"/>
      <c r="P7" s="96"/>
      <c r="Q7" s="96" t="s">
        <v>6</v>
      </c>
      <c r="R7" s="96"/>
      <c r="S7" s="96"/>
      <c r="T7" s="96"/>
      <c r="U7" s="96"/>
      <c r="V7" s="96"/>
      <c r="W7" s="96" t="s">
        <v>7</v>
      </c>
      <c r="X7" s="96" t="s">
        <v>8</v>
      </c>
    </row>
    <row r="8" spans="1:24" s="9" customFormat="1">
      <c r="A8" s="97" t="s">
        <v>9</v>
      </c>
      <c r="B8" s="97" t="s">
        <v>10</v>
      </c>
      <c r="C8" s="97" t="s">
        <v>11</v>
      </c>
      <c r="D8" s="97" t="s">
        <v>12</v>
      </c>
      <c r="E8" s="97" t="s">
        <v>13</v>
      </c>
      <c r="F8" s="97" t="s">
        <v>14</v>
      </c>
      <c r="G8" s="97" t="s">
        <v>15</v>
      </c>
      <c r="H8" s="97" t="s">
        <v>16</v>
      </c>
      <c r="I8" s="97"/>
      <c r="J8" s="98" t="s">
        <v>17</v>
      </c>
      <c r="K8" s="98"/>
      <c r="L8" s="97" t="s">
        <v>18</v>
      </c>
      <c r="M8" s="97" t="s">
        <v>19</v>
      </c>
      <c r="N8" s="98" t="s">
        <v>20</v>
      </c>
      <c r="O8" s="98" t="s">
        <v>21</v>
      </c>
      <c r="P8" s="98" t="s">
        <v>22</v>
      </c>
      <c r="Q8" s="98" t="s">
        <v>23</v>
      </c>
      <c r="R8" s="98"/>
      <c r="S8" s="98" t="s">
        <v>24</v>
      </c>
      <c r="T8" s="98"/>
      <c r="U8" s="97" t="s">
        <v>25</v>
      </c>
      <c r="V8" s="98" t="s">
        <v>22</v>
      </c>
      <c r="W8" s="96"/>
      <c r="X8" s="96"/>
    </row>
    <row r="9" spans="1:24" s="9" customFormat="1" ht="17.25" customHeight="1">
      <c r="A9" s="97"/>
      <c r="B9" s="97"/>
      <c r="C9" s="97"/>
      <c r="D9" s="97"/>
      <c r="E9" s="97"/>
      <c r="F9" s="97"/>
      <c r="G9" s="97"/>
      <c r="H9" s="10" t="s">
        <v>26</v>
      </c>
      <c r="I9" s="10" t="s">
        <v>27</v>
      </c>
      <c r="J9" s="10" t="s">
        <v>26</v>
      </c>
      <c r="K9" s="11" t="s">
        <v>28</v>
      </c>
      <c r="L9" s="97"/>
      <c r="M9" s="97"/>
      <c r="N9" s="98"/>
      <c r="O9" s="98"/>
      <c r="P9" s="98"/>
      <c r="Q9" s="10" t="s">
        <v>29</v>
      </c>
      <c r="R9" s="11" t="s">
        <v>30</v>
      </c>
      <c r="S9" s="10" t="s">
        <v>29</v>
      </c>
      <c r="T9" s="11" t="s">
        <v>30</v>
      </c>
      <c r="U9" s="97"/>
      <c r="V9" s="98"/>
      <c r="W9" s="96"/>
      <c r="X9" s="96"/>
    </row>
    <row r="10" spans="1:24" ht="38.25">
      <c r="A10" s="34" t="s">
        <v>272</v>
      </c>
      <c r="B10" s="34" t="s">
        <v>273</v>
      </c>
      <c r="C10" s="34" t="s">
        <v>282</v>
      </c>
      <c r="D10" s="29" t="s">
        <v>283</v>
      </c>
      <c r="E10" s="20" t="s">
        <v>203</v>
      </c>
      <c r="F10" s="34" t="s">
        <v>284</v>
      </c>
      <c r="G10" s="30" t="s">
        <v>36</v>
      </c>
      <c r="H10" s="27" t="s">
        <v>37</v>
      </c>
      <c r="I10" s="27" t="s">
        <v>38</v>
      </c>
      <c r="J10" s="27" t="s">
        <v>62</v>
      </c>
      <c r="K10" s="31" t="s">
        <v>63</v>
      </c>
      <c r="L10" s="35">
        <v>43325</v>
      </c>
      <c r="M10" s="35" t="s">
        <v>285</v>
      </c>
      <c r="N10" s="31">
        <f>935.55/2</f>
        <v>467.77499999999998</v>
      </c>
      <c r="O10" s="31">
        <f>935.55/2</f>
        <v>467.77499999999998</v>
      </c>
      <c r="P10" s="31">
        <f>SUM(O10:O10)</f>
        <v>467.77499999999998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947.77499999999998</v>
      </c>
      <c r="W10" s="31">
        <f>V10</f>
        <v>947.77499999999998</v>
      </c>
      <c r="X10" s="37"/>
    </row>
    <row r="11" spans="1:24" ht="25.5">
      <c r="A11" s="34" t="s">
        <v>228</v>
      </c>
      <c r="B11" s="34" t="s">
        <v>221</v>
      </c>
      <c r="C11" s="27" t="s">
        <v>54</v>
      </c>
      <c r="D11" s="29" t="s">
        <v>88</v>
      </c>
      <c r="E11" s="20" t="s">
        <v>55</v>
      </c>
      <c r="F11" s="34" t="s">
        <v>286</v>
      </c>
      <c r="G11" s="30" t="s">
        <v>36</v>
      </c>
      <c r="H11" s="27" t="s">
        <v>37</v>
      </c>
      <c r="I11" s="27" t="s">
        <v>38</v>
      </c>
      <c r="J11" s="27" t="s">
        <v>62</v>
      </c>
      <c r="K11" s="31" t="s">
        <v>63</v>
      </c>
      <c r="L11" s="35">
        <v>43319</v>
      </c>
      <c r="M11" s="35">
        <v>43320</v>
      </c>
      <c r="N11" s="31">
        <f>935.71/2</f>
        <v>467.85500000000002</v>
      </c>
      <c r="O11" s="31">
        <f>935.71/2</f>
        <v>467.85500000000002</v>
      </c>
      <c r="P11" s="31">
        <f t="shared" ref="P11:P26" si="0">SUM(O11:O11)</f>
        <v>467.85500000000002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947.85500000000002</v>
      </c>
      <c r="W11" s="31">
        <f t="shared" ref="W11:W26" si="3">V11</f>
        <v>947.85500000000002</v>
      </c>
      <c r="X11" s="33"/>
    </row>
    <row r="12" spans="1:24" ht="25.5">
      <c r="A12" s="34" t="s">
        <v>253</v>
      </c>
      <c r="B12" s="34" t="s">
        <v>253</v>
      </c>
      <c r="C12" s="27" t="s">
        <v>223</v>
      </c>
      <c r="D12" s="29" t="s">
        <v>252</v>
      </c>
      <c r="E12" s="20" t="s">
        <v>50</v>
      </c>
      <c r="F12" s="34" t="s">
        <v>287</v>
      </c>
      <c r="G12" s="30" t="s">
        <v>36</v>
      </c>
      <c r="H12" s="27" t="s">
        <v>37</v>
      </c>
      <c r="I12" s="27" t="s">
        <v>38</v>
      </c>
      <c r="J12" s="27" t="s">
        <v>39</v>
      </c>
      <c r="K12" s="31" t="s">
        <v>40</v>
      </c>
      <c r="L12" s="35">
        <v>43320</v>
      </c>
      <c r="M12" s="35">
        <v>43322</v>
      </c>
      <c r="N12" s="31">
        <f>1325.12/2</f>
        <v>662.56</v>
      </c>
      <c r="O12" s="31">
        <f>1325.12/2</f>
        <v>662.56</v>
      </c>
      <c r="P12" s="31">
        <f t="shared" si="0"/>
        <v>662.56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662.56</v>
      </c>
      <c r="W12" s="31">
        <f t="shared" si="3"/>
        <v>662.56</v>
      </c>
      <c r="X12" s="33"/>
    </row>
    <row r="13" spans="1:24" ht="38.25">
      <c r="A13" s="34" t="s">
        <v>253</v>
      </c>
      <c r="B13" s="34" t="s">
        <v>288</v>
      </c>
      <c r="C13" s="27" t="s">
        <v>289</v>
      </c>
      <c r="D13" s="29" t="s">
        <v>290</v>
      </c>
      <c r="E13" s="20" t="s">
        <v>98</v>
      </c>
      <c r="F13" s="34" t="s">
        <v>291</v>
      </c>
      <c r="G13" s="30" t="s">
        <v>36</v>
      </c>
      <c r="H13" s="27" t="s">
        <v>37</v>
      </c>
      <c r="I13" s="27" t="s">
        <v>38</v>
      </c>
      <c r="J13" s="27" t="s">
        <v>39</v>
      </c>
      <c r="K13" s="31" t="s">
        <v>40</v>
      </c>
      <c r="L13" s="35">
        <v>43317</v>
      </c>
      <c r="M13" s="35">
        <v>43322</v>
      </c>
      <c r="N13" s="31">
        <f>1792.21/2</f>
        <v>896.10500000000002</v>
      </c>
      <c r="O13" s="31">
        <f>1792.21/2</f>
        <v>896.10500000000002</v>
      </c>
      <c r="P13" s="31">
        <f t="shared" si="0"/>
        <v>896.10500000000002</v>
      </c>
      <c r="Q13" s="27">
        <v>6</v>
      </c>
      <c r="R13" s="31">
        <v>120</v>
      </c>
      <c r="S13" s="27">
        <v>3</v>
      </c>
      <c r="T13" s="31">
        <v>100</v>
      </c>
      <c r="U13" s="32">
        <f t="shared" si="1"/>
        <v>1020</v>
      </c>
      <c r="V13" s="31">
        <f t="shared" si="2"/>
        <v>1916.105</v>
      </c>
      <c r="W13" s="31">
        <f t="shared" si="3"/>
        <v>1916.105</v>
      </c>
      <c r="X13" s="33"/>
    </row>
    <row r="14" spans="1:24" ht="25.5">
      <c r="A14" s="34" t="s">
        <v>228</v>
      </c>
      <c r="B14" s="34" t="s">
        <v>221</v>
      </c>
      <c r="C14" s="27" t="s">
        <v>54</v>
      </c>
      <c r="D14" s="29" t="s">
        <v>88</v>
      </c>
      <c r="E14" s="20" t="s">
        <v>55</v>
      </c>
      <c r="F14" s="34" t="s">
        <v>292</v>
      </c>
      <c r="G14" s="30" t="s">
        <v>36</v>
      </c>
      <c r="H14" s="27" t="s">
        <v>37</v>
      </c>
      <c r="I14" s="27" t="s">
        <v>38</v>
      </c>
      <c r="J14" s="27" t="s">
        <v>39</v>
      </c>
      <c r="K14" s="31" t="s">
        <v>40</v>
      </c>
      <c r="L14" s="35">
        <v>43333</v>
      </c>
      <c r="M14" s="35">
        <v>43335</v>
      </c>
      <c r="N14" s="31">
        <f>1324.55/2</f>
        <v>662.27499999999998</v>
      </c>
      <c r="O14" s="31">
        <f>1324.55/2</f>
        <v>662.27499999999998</v>
      </c>
      <c r="P14" s="31">
        <f t="shared" si="0"/>
        <v>662.27499999999998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1382.2750000000001</v>
      </c>
      <c r="W14" s="31">
        <f t="shared" si="3"/>
        <v>1382.2750000000001</v>
      </c>
      <c r="X14" s="33"/>
    </row>
    <row r="15" spans="1:24" ht="38.25">
      <c r="A15" s="34" t="s">
        <v>272</v>
      </c>
      <c r="B15" s="34" t="s">
        <v>272</v>
      </c>
      <c r="C15" s="27" t="s">
        <v>79</v>
      </c>
      <c r="D15" s="29" t="s">
        <v>107</v>
      </c>
      <c r="E15" s="20" t="s">
        <v>80</v>
      </c>
      <c r="F15" s="34" t="s">
        <v>292</v>
      </c>
      <c r="G15" s="30" t="s">
        <v>36</v>
      </c>
      <c r="H15" s="27" t="s">
        <v>37</v>
      </c>
      <c r="I15" s="27" t="s">
        <v>38</v>
      </c>
      <c r="J15" s="27" t="s">
        <v>39</v>
      </c>
      <c r="K15" s="31" t="s">
        <v>40</v>
      </c>
      <c r="L15" s="35">
        <v>43333</v>
      </c>
      <c r="M15" s="35">
        <v>43335</v>
      </c>
      <c r="N15" s="31">
        <f>1176.78/2</f>
        <v>588.39</v>
      </c>
      <c r="O15" s="31">
        <f>1176.78/2</f>
        <v>588.39</v>
      </c>
      <c r="P15" s="31">
        <f t="shared" si="0"/>
        <v>588.39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588.39</v>
      </c>
      <c r="W15" s="31">
        <f t="shared" si="3"/>
        <v>588.39</v>
      </c>
      <c r="X15" s="33"/>
    </row>
    <row r="16" spans="1:24" ht="38.25">
      <c r="A16" s="34" t="s">
        <v>272</v>
      </c>
      <c r="B16" s="34" t="s">
        <v>272</v>
      </c>
      <c r="C16" s="27" t="s">
        <v>76</v>
      </c>
      <c r="D16" s="29" t="s">
        <v>107</v>
      </c>
      <c r="E16" s="20" t="s">
        <v>78</v>
      </c>
      <c r="F16" s="34" t="s">
        <v>292</v>
      </c>
      <c r="G16" s="30" t="s">
        <v>36</v>
      </c>
      <c r="H16" s="27" t="s">
        <v>37</v>
      </c>
      <c r="I16" s="27" t="s">
        <v>38</v>
      </c>
      <c r="J16" s="27" t="s">
        <v>39</v>
      </c>
      <c r="K16" s="31" t="s">
        <v>40</v>
      </c>
      <c r="L16" s="35">
        <v>43333</v>
      </c>
      <c r="M16" s="35">
        <v>43335</v>
      </c>
      <c r="N16" s="31">
        <f>1102.78/2</f>
        <v>551.39</v>
      </c>
      <c r="O16" s="31">
        <f>1102.78/2</f>
        <v>551.39</v>
      </c>
      <c r="P16" s="31">
        <f t="shared" si="0"/>
        <v>551.39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911.39</v>
      </c>
      <c r="W16" s="31">
        <f t="shared" si="3"/>
        <v>911.39</v>
      </c>
      <c r="X16" s="33"/>
    </row>
    <row r="17" spans="1:24" ht="38.25">
      <c r="A17" s="34" t="s">
        <v>272</v>
      </c>
      <c r="B17" s="34" t="s">
        <v>240</v>
      </c>
      <c r="C17" s="27" t="s">
        <v>140</v>
      </c>
      <c r="D17" s="29" t="s">
        <v>141</v>
      </c>
      <c r="E17" s="20" t="s">
        <v>293</v>
      </c>
      <c r="F17" s="34" t="s">
        <v>292</v>
      </c>
      <c r="G17" s="30" t="s">
        <v>36</v>
      </c>
      <c r="H17" s="27" t="s">
        <v>37</v>
      </c>
      <c r="I17" s="27" t="s">
        <v>38</v>
      </c>
      <c r="J17" s="27" t="s">
        <v>39</v>
      </c>
      <c r="K17" s="31" t="s">
        <v>40</v>
      </c>
      <c r="L17" s="35">
        <v>43333</v>
      </c>
      <c r="M17" s="35">
        <v>43335</v>
      </c>
      <c r="N17" s="31">
        <f>1408.52/2</f>
        <v>704.26</v>
      </c>
      <c r="O17" s="31">
        <f>1408.52/2</f>
        <v>704.26</v>
      </c>
      <c r="P17" s="31">
        <f t="shared" si="0"/>
        <v>704.26</v>
      </c>
      <c r="Q17" s="27">
        <v>7</v>
      </c>
      <c r="R17" s="31">
        <v>120</v>
      </c>
      <c r="S17" s="27">
        <v>0</v>
      </c>
      <c r="T17" s="31">
        <v>0</v>
      </c>
      <c r="U17" s="32">
        <f t="shared" si="1"/>
        <v>840</v>
      </c>
      <c r="V17" s="31">
        <f t="shared" si="2"/>
        <v>1544.26</v>
      </c>
      <c r="W17" s="31">
        <f t="shared" si="3"/>
        <v>1544.26</v>
      </c>
      <c r="X17" s="33"/>
    </row>
    <row r="18" spans="1:24" ht="38.25">
      <c r="A18" s="34" t="s">
        <v>272</v>
      </c>
      <c r="B18" s="34" t="s">
        <v>240</v>
      </c>
      <c r="C18" s="27" t="s">
        <v>137</v>
      </c>
      <c r="D18" s="29" t="s">
        <v>138</v>
      </c>
      <c r="E18" s="20" t="s">
        <v>294</v>
      </c>
      <c r="F18" s="34" t="s">
        <v>292</v>
      </c>
      <c r="G18" s="30" t="s">
        <v>36</v>
      </c>
      <c r="H18" s="27" t="s">
        <v>37</v>
      </c>
      <c r="I18" s="27" t="s">
        <v>38</v>
      </c>
      <c r="J18" s="27" t="s">
        <v>39</v>
      </c>
      <c r="K18" s="31" t="s">
        <v>40</v>
      </c>
      <c r="L18" s="35">
        <v>43333</v>
      </c>
      <c r="M18" s="35">
        <v>43335</v>
      </c>
      <c r="N18" s="31">
        <f>1408.52/2</f>
        <v>704.26</v>
      </c>
      <c r="O18" s="31">
        <f>1408.52/2</f>
        <v>704.26</v>
      </c>
      <c r="P18" s="31">
        <f t="shared" si="0"/>
        <v>704.26</v>
      </c>
      <c r="Q18" s="27">
        <v>5</v>
      </c>
      <c r="R18" s="31">
        <v>120</v>
      </c>
      <c r="S18" s="27">
        <v>0</v>
      </c>
      <c r="T18" s="31">
        <v>0</v>
      </c>
      <c r="U18" s="32">
        <f t="shared" si="1"/>
        <v>600</v>
      </c>
      <c r="V18" s="31">
        <f t="shared" si="2"/>
        <v>1304.26</v>
      </c>
      <c r="W18" s="31">
        <f t="shared" si="3"/>
        <v>1304.26</v>
      </c>
      <c r="X18" s="33"/>
    </row>
    <row r="19" spans="1:24" ht="38.25">
      <c r="A19" s="34" t="s">
        <v>272</v>
      </c>
      <c r="B19" s="34" t="s">
        <v>295</v>
      </c>
      <c r="C19" s="27" t="s">
        <v>296</v>
      </c>
      <c r="D19" s="29" t="s">
        <v>297</v>
      </c>
      <c r="E19" s="20" t="s">
        <v>298</v>
      </c>
      <c r="F19" s="34" t="s">
        <v>292</v>
      </c>
      <c r="G19" s="30" t="s">
        <v>36</v>
      </c>
      <c r="H19" s="27" t="s">
        <v>37</v>
      </c>
      <c r="I19" s="27" t="s">
        <v>38</v>
      </c>
      <c r="J19" s="27" t="s">
        <v>39</v>
      </c>
      <c r="K19" s="31" t="s">
        <v>40</v>
      </c>
      <c r="L19" s="35">
        <v>43333</v>
      </c>
      <c r="M19" s="35">
        <v>43335</v>
      </c>
      <c r="N19" s="31">
        <f>1283.72/2</f>
        <v>641.86</v>
      </c>
      <c r="O19" s="31">
        <f>1283.72/2</f>
        <v>641.86</v>
      </c>
      <c r="P19" s="31">
        <f t="shared" si="0"/>
        <v>641.86</v>
      </c>
      <c r="Q19" s="27">
        <v>3</v>
      </c>
      <c r="R19" s="31">
        <v>120</v>
      </c>
      <c r="S19" s="27">
        <v>0</v>
      </c>
      <c r="T19" s="31">
        <v>0</v>
      </c>
      <c r="U19" s="32">
        <f t="shared" si="1"/>
        <v>360</v>
      </c>
      <c r="V19" s="31">
        <f t="shared" si="2"/>
        <v>1001.86</v>
      </c>
      <c r="W19" s="31">
        <f t="shared" si="3"/>
        <v>1001.86</v>
      </c>
      <c r="X19" s="33"/>
    </row>
    <row r="20" spans="1:24" ht="51">
      <c r="A20" s="34" t="s">
        <v>272</v>
      </c>
      <c r="B20" s="34" t="s">
        <v>295</v>
      </c>
      <c r="C20" s="27" t="s">
        <v>299</v>
      </c>
      <c r="D20" s="29" t="s">
        <v>300</v>
      </c>
      <c r="E20" s="20" t="s">
        <v>301</v>
      </c>
      <c r="F20" s="34" t="s">
        <v>292</v>
      </c>
      <c r="G20" s="30" t="s">
        <v>36</v>
      </c>
      <c r="H20" s="27" t="s">
        <v>37</v>
      </c>
      <c r="I20" s="27" t="s">
        <v>38</v>
      </c>
      <c r="J20" s="27" t="s">
        <v>39</v>
      </c>
      <c r="K20" s="31" t="s">
        <v>40</v>
      </c>
      <c r="L20" s="35">
        <v>43333</v>
      </c>
      <c r="M20" s="35">
        <v>43335</v>
      </c>
      <c r="N20" s="31">
        <f>1283.72/2</f>
        <v>641.86</v>
      </c>
      <c r="O20" s="31">
        <f>1283.72/2</f>
        <v>641.86</v>
      </c>
      <c r="P20" s="31">
        <f t="shared" si="0"/>
        <v>641.86</v>
      </c>
      <c r="Q20" s="27">
        <v>3</v>
      </c>
      <c r="R20" s="31">
        <v>120</v>
      </c>
      <c r="S20" s="27">
        <v>0</v>
      </c>
      <c r="T20" s="31">
        <v>0</v>
      </c>
      <c r="U20" s="32">
        <f t="shared" si="1"/>
        <v>360</v>
      </c>
      <c r="V20" s="31">
        <f t="shared" si="2"/>
        <v>1001.86</v>
      </c>
      <c r="W20" s="31">
        <f t="shared" si="3"/>
        <v>1001.86</v>
      </c>
      <c r="X20" s="33"/>
    </row>
    <row r="21" spans="1:24" ht="25.5">
      <c r="A21" s="34" t="s">
        <v>228</v>
      </c>
      <c r="B21" s="34" t="s">
        <v>228</v>
      </c>
      <c r="C21" s="27" t="s">
        <v>86</v>
      </c>
      <c r="D21" s="29" t="s">
        <v>107</v>
      </c>
      <c r="E21" s="20" t="s">
        <v>87</v>
      </c>
      <c r="F21" s="34" t="s">
        <v>292</v>
      </c>
      <c r="G21" s="30" t="s">
        <v>36</v>
      </c>
      <c r="H21" s="27" t="s">
        <v>37</v>
      </c>
      <c r="I21" s="27" t="s">
        <v>38</v>
      </c>
      <c r="J21" s="27" t="s">
        <v>39</v>
      </c>
      <c r="K21" s="31" t="s">
        <v>40</v>
      </c>
      <c r="L21" s="35">
        <v>43333</v>
      </c>
      <c r="M21" s="35">
        <v>43335</v>
      </c>
      <c r="N21" s="31">
        <f>1324.55/2</f>
        <v>662.27499999999998</v>
      </c>
      <c r="O21" s="31">
        <f>1324.55/2</f>
        <v>662.27499999999998</v>
      </c>
      <c r="P21" s="31">
        <f t="shared" si="0"/>
        <v>662.27499999999998</v>
      </c>
      <c r="Q21" s="27">
        <v>0</v>
      </c>
      <c r="R21" s="31">
        <v>0</v>
      </c>
      <c r="S21" s="27">
        <v>0</v>
      </c>
      <c r="T21" s="31">
        <v>0</v>
      </c>
      <c r="U21" s="32">
        <f t="shared" si="1"/>
        <v>0</v>
      </c>
      <c r="V21" s="31">
        <f t="shared" si="2"/>
        <v>662.27499999999998</v>
      </c>
      <c r="W21" s="31">
        <f t="shared" si="3"/>
        <v>662.27499999999998</v>
      </c>
      <c r="X21" s="33"/>
    </row>
    <row r="22" spans="1:24" ht="38.25" customHeight="1">
      <c r="A22" s="34" t="s">
        <v>272</v>
      </c>
      <c r="B22" s="34" t="s">
        <v>273</v>
      </c>
      <c r="C22" s="27" t="s">
        <v>302</v>
      </c>
      <c r="D22" s="29" t="s">
        <v>303</v>
      </c>
      <c r="E22" s="20" t="s">
        <v>304</v>
      </c>
      <c r="F22" s="34" t="s">
        <v>292</v>
      </c>
      <c r="G22" s="30" t="s">
        <v>36</v>
      </c>
      <c r="H22" s="27" t="s">
        <v>37</v>
      </c>
      <c r="I22" s="27" t="s">
        <v>38</v>
      </c>
      <c r="J22" s="27" t="s">
        <v>39</v>
      </c>
      <c r="K22" s="31" t="s">
        <v>40</v>
      </c>
      <c r="L22" s="35">
        <v>43333</v>
      </c>
      <c r="M22" s="35">
        <v>43335</v>
      </c>
      <c r="N22" s="31">
        <f>1408.52/2</f>
        <v>704.26</v>
      </c>
      <c r="O22" s="31">
        <f>1408.52/2</f>
        <v>704.26</v>
      </c>
      <c r="P22" s="31">
        <f t="shared" si="0"/>
        <v>704.26</v>
      </c>
      <c r="Q22" s="27">
        <v>3</v>
      </c>
      <c r="R22" s="31">
        <v>120</v>
      </c>
      <c r="S22" s="27">
        <v>0</v>
      </c>
      <c r="T22" s="31">
        <v>0</v>
      </c>
      <c r="U22" s="32">
        <f t="shared" si="1"/>
        <v>360</v>
      </c>
      <c r="V22" s="31">
        <f t="shared" si="2"/>
        <v>1064.26</v>
      </c>
      <c r="W22" s="31">
        <f t="shared" si="3"/>
        <v>1064.26</v>
      </c>
      <c r="X22" s="33"/>
    </row>
    <row r="23" spans="1:24" ht="38.25" customHeight="1">
      <c r="A23" s="34" t="s">
        <v>272</v>
      </c>
      <c r="B23" s="34" t="s">
        <v>273</v>
      </c>
      <c r="C23" s="27" t="s">
        <v>195</v>
      </c>
      <c r="D23" s="29" t="s">
        <v>196</v>
      </c>
      <c r="E23" s="20" t="s">
        <v>197</v>
      </c>
      <c r="F23" s="34" t="s">
        <v>292</v>
      </c>
      <c r="G23" s="30" t="s">
        <v>36</v>
      </c>
      <c r="H23" s="27" t="s">
        <v>37</v>
      </c>
      <c r="I23" s="27" t="s">
        <v>38</v>
      </c>
      <c r="J23" s="27" t="s">
        <v>39</v>
      </c>
      <c r="K23" s="31" t="s">
        <v>40</v>
      </c>
      <c r="L23" s="35">
        <v>43333</v>
      </c>
      <c r="M23" s="35">
        <v>43335</v>
      </c>
      <c r="N23" s="31">
        <f>1408.51/2</f>
        <v>704.255</v>
      </c>
      <c r="O23" s="31">
        <f>1408.51/2</f>
        <v>704.255</v>
      </c>
      <c r="P23" s="31">
        <f t="shared" si="0"/>
        <v>704.255</v>
      </c>
      <c r="Q23" s="27">
        <v>3</v>
      </c>
      <c r="R23" s="31">
        <v>120</v>
      </c>
      <c r="S23" s="27">
        <v>0</v>
      </c>
      <c r="T23" s="31">
        <v>0</v>
      </c>
      <c r="U23" s="32">
        <f t="shared" si="1"/>
        <v>360</v>
      </c>
      <c r="V23" s="31">
        <f t="shared" si="2"/>
        <v>1064.2550000000001</v>
      </c>
      <c r="W23" s="31">
        <f t="shared" si="3"/>
        <v>1064.2550000000001</v>
      </c>
      <c r="X23" s="33"/>
    </row>
    <row r="24" spans="1:24" ht="43.5" customHeight="1">
      <c r="A24" s="34" t="s">
        <v>228</v>
      </c>
      <c r="B24" s="34" t="s">
        <v>305</v>
      </c>
      <c r="C24" s="27" t="s">
        <v>306</v>
      </c>
      <c r="D24" s="29" t="s">
        <v>307</v>
      </c>
      <c r="E24" s="20" t="s">
        <v>308</v>
      </c>
      <c r="F24" s="34" t="s">
        <v>309</v>
      </c>
      <c r="G24" s="30" t="s">
        <v>36</v>
      </c>
      <c r="H24" s="27" t="s">
        <v>37</v>
      </c>
      <c r="I24" s="27" t="s">
        <v>38</v>
      </c>
      <c r="J24" s="27" t="s">
        <v>62</v>
      </c>
      <c r="K24" s="31" t="s">
        <v>63</v>
      </c>
      <c r="L24" s="35">
        <v>43333</v>
      </c>
      <c r="M24" s="35">
        <v>43335</v>
      </c>
      <c r="N24" s="31">
        <v>800.12</v>
      </c>
      <c r="O24" s="31">
        <v>508.09</v>
      </c>
      <c r="P24" s="31">
        <f t="shared" si="0"/>
        <v>508.09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868.08999999999992</v>
      </c>
      <c r="W24" s="31">
        <f t="shared" si="3"/>
        <v>868.08999999999992</v>
      </c>
      <c r="X24" s="33"/>
    </row>
    <row r="25" spans="1:24" ht="25.5">
      <c r="A25" s="34" t="s">
        <v>253</v>
      </c>
      <c r="B25" s="34" t="s">
        <v>253</v>
      </c>
      <c r="C25" s="27" t="s">
        <v>223</v>
      </c>
      <c r="D25" s="29" t="s">
        <v>107</v>
      </c>
      <c r="E25" s="20" t="s">
        <v>50</v>
      </c>
      <c r="F25" s="34" t="s">
        <v>292</v>
      </c>
      <c r="G25" s="30" t="s">
        <v>36</v>
      </c>
      <c r="H25" s="27" t="s">
        <v>37</v>
      </c>
      <c r="I25" s="27" t="s">
        <v>38</v>
      </c>
      <c r="J25" s="27" t="s">
        <v>39</v>
      </c>
      <c r="K25" s="31" t="s">
        <v>40</v>
      </c>
      <c r="L25" s="35">
        <v>43333</v>
      </c>
      <c r="M25" s="35">
        <v>43335</v>
      </c>
      <c r="N25" s="31">
        <f>1516.31/2</f>
        <v>758.15499999999997</v>
      </c>
      <c r="O25" s="31">
        <f>1516.31/2</f>
        <v>758.15499999999997</v>
      </c>
      <c r="P25" s="31">
        <f t="shared" si="0"/>
        <v>758.15499999999997</v>
      </c>
      <c r="Q25" s="27"/>
      <c r="R25" s="31">
        <v>0</v>
      </c>
      <c r="S25" s="27">
        <v>0</v>
      </c>
      <c r="T25" s="31">
        <v>0</v>
      </c>
      <c r="U25" s="32">
        <f t="shared" si="1"/>
        <v>0</v>
      </c>
      <c r="V25" s="31">
        <f t="shared" si="2"/>
        <v>758.15499999999997</v>
      </c>
      <c r="W25" s="31">
        <f t="shared" si="3"/>
        <v>758.15499999999997</v>
      </c>
      <c r="X25" s="33"/>
    </row>
    <row r="26" spans="1:24" ht="25.5">
      <c r="A26" s="34" t="s">
        <v>228</v>
      </c>
      <c r="B26" s="34" t="s">
        <v>310</v>
      </c>
      <c r="C26" s="27" t="s">
        <v>311</v>
      </c>
      <c r="D26" s="29" t="s">
        <v>312</v>
      </c>
      <c r="E26" s="20" t="s">
        <v>313</v>
      </c>
      <c r="F26" s="34" t="s">
        <v>314</v>
      </c>
      <c r="G26" s="30" t="s">
        <v>36</v>
      </c>
      <c r="H26" s="27" t="s">
        <v>37</v>
      </c>
      <c r="I26" s="27" t="s">
        <v>38</v>
      </c>
      <c r="J26" s="27" t="s">
        <v>62</v>
      </c>
      <c r="K26" s="31" t="s">
        <v>63</v>
      </c>
      <c r="L26" s="35">
        <v>43338</v>
      </c>
      <c r="M26" s="35">
        <v>43340</v>
      </c>
      <c r="N26" s="31">
        <v>834.87</v>
      </c>
      <c r="O26" s="31">
        <v>449.91</v>
      </c>
      <c r="P26" s="31">
        <f t="shared" si="0"/>
        <v>449.91</v>
      </c>
      <c r="Q26" s="27">
        <v>3</v>
      </c>
      <c r="R26" s="31">
        <v>120</v>
      </c>
      <c r="S26" s="27">
        <v>0</v>
      </c>
      <c r="T26" s="31">
        <v>0</v>
      </c>
      <c r="U26" s="32">
        <f t="shared" si="1"/>
        <v>360</v>
      </c>
      <c r="V26" s="31">
        <f t="shared" si="2"/>
        <v>809.91000000000008</v>
      </c>
      <c r="W26" s="31">
        <f t="shared" si="3"/>
        <v>809.91000000000008</v>
      </c>
      <c r="X26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X19"/>
  <sheetViews>
    <sheetView workbookViewId="0">
      <selection activeCell="E12" sqref="E12"/>
    </sheetView>
  </sheetViews>
  <sheetFormatPr defaultRowHeight="15" customHeight="1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62" t="s">
        <v>0</v>
      </c>
      <c r="W5" s="162"/>
      <c r="X5" s="8">
        <v>43344</v>
      </c>
    </row>
    <row r="6" spans="1:24">
      <c r="A6" s="96" t="s">
        <v>1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</row>
    <row r="7" spans="1:24">
      <c r="A7" s="96" t="s">
        <v>2</v>
      </c>
      <c r="B7" s="96"/>
      <c r="C7" s="96" t="s">
        <v>3</v>
      </c>
      <c r="D7" s="96"/>
      <c r="E7" s="96"/>
      <c r="F7" s="96" t="s">
        <v>4</v>
      </c>
      <c r="G7" s="96"/>
      <c r="H7" s="96"/>
      <c r="I7" s="96"/>
      <c r="J7" s="96"/>
      <c r="K7" s="96"/>
      <c r="L7" s="96"/>
      <c r="M7" s="96"/>
      <c r="N7" s="96" t="s">
        <v>5</v>
      </c>
      <c r="O7" s="96"/>
      <c r="P7" s="96"/>
      <c r="Q7" s="96" t="s">
        <v>6</v>
      </c>
      <c r="R7" s="96"/>
      <c r="S7" s="96"/>
      <c r="T7" s="96"/>
      <c r="U7" s="96"/>
      <c r="V7" s="96"/>
      <c r="W7" s="96" t="s">
        <v>7</v>
      </c>
      <c r="X7" s="96" t="s">
        <v>8</v>
      </c>
    </row>
    <row r="8" spans="1:24" s="9" customFormat="1">
      <c r="A8" s="97" t="s">
        <v>9</v>
      </c>
      <c r="B8" s="97" t="s">
        <v>10</v>
      </c>
      <c r="C8" s="97" t="s">
        <v>11</v>
      </c>
      <c r="D8" s="97" t="s">
        <v>12</v>
      </c>
      <c r="E8" s="97" t="s">
        <v>13</v>
      </c>
      <c r="F8" s="97" t="s">
        <v>14</v>
      </c>
      <c r="G8" s="97" t="s">
        <v>15</v>
      </c>
      <c r="H8" s="97" t="s">
        <v>16</v>
      </c>
      <c r="I8" s="97"/>
      <c r="J8" s="98" t="s">
        <v>17</v>
      </c>
      <c r="K8" s="98"/>
      <c r="L8" s="97" t="s">
        <v>18</v>
      </c>
      <c r="M8" s="97" t="s">
        <v>19</v>
      </c>
      <c r="N8" s="98" t="s">
        <v>20</v>
      </c>
      <c r="O8" s="98" t="s">
        <v>21</v>
      </c>
      <c r="P8" s="98" t="s">
        <v>22</v>
      </c>
      <c r="Q8" s="98" t="s">
        <v>23</v>
      </c>
      <c r="R8" s="98"/>
      <c r="S8" s="98" t="s">
        <v>24</v>
      </c>
      <c r="T8" s="98"/>
      <c r="U8" s="97" t="s">
        <v>25</v>
      </c>
      <c r="V8" s="98" t="s">
        <v>22</v>
      </c>
      <c r="W8" s="96"/>
      <c r="X8" s="96"/>
    </row>
    <row r="9" spans="1:24" s="9" customFormat="1" ht="17.25" customHeight="1">
      <c r="A9" s="97"/>
      <c r="B9" s="97"/>
      <c r="C9" s="97"/>
      <c r="D9" s="97"/>
      <c r="E9" s="97"/>
      <c r="F9" s="97"/>
      <c r="G9" s="97"/>
      <c r="H9" s="10" t="s">
        <v>26</v>
      </c>
      <c r="I9" s="10" t="s">
        <v>27</v>
      </c>
      <c r="J9" s="10" t="s">
        <v>26</v>
      </c>
      <c r="K9" s="11" t="s">
        <v>28</v>
      </c>
      <c r="L9" s="97"/>
      <c r="M9" s="97"/>
      <c r="N9" s="98"/>
      <c r="O9" s="98"/>
      <c r="P9" s="98"/>
      <c r="Q9" s="10" t="s">
        <v>29</v>
      </c>
      <c r="R9" s="11" t="s">
        <v>30</v>
      </c>
      <c r="S9" s="10" t="s">
        <v>29</v>
      </c>
      <c r="T9" s="11" t="s">
        <v>30</v>
      </c>
      <c r="U9" s="97"/>
      <c r="V9" s="98"/>
      <c r="W9" s="96"/>
      <c r="X9" s="96"/>
    </row>
    <row r="10" spans="1:24" ht="38.25">
      <c r="A10" s="34" t="s">
        <v>253</v>
      </c>
      <c r="B10" s="34" t="s">
        <v>288</v>
      </c>
      <c r="C10" s="50" t="s">
        <v>96</v>
      </c>
      <c r="D10" s="29" t="s">
        <v>97</v>
      </c>
      <c r="E10" s="20" t="s">
        <v>315</v>
      </c>
      <c r="F10" s="34" t="s">
        <v>316</v>
      </c>
      <c r="G10" s="30" t="s">
        <v>36</v>
      </c>
      <c r="H10" s="27" t="s">
        <v>37</v>
      </c>
      <c r="I10" s="27" t="s">
        <v>38</v>
      </c>
      <c r="J10" s="27" t="s">
        <v>62</v>
      </c>
      <c r="K10" s="31" t="s">
        <v>63</v>
      </c>
      <c r="L10" s="35">
        <v>43366</v>
      </c>
      <c r="M10" s="35">
        <v>43370</v>
      </c>
      <c r="N10" s="31">
        <f>1239.88/2</f>
        <v>619.94000000000005</v>
      </c>
      <c r="O10" s="31">
        <f>1239.88/2</f>
        <v>619.94000000000005</v>
      </c>
      <c r="P10" s="31">
        <f>SUM(O10:O10)</f>
        <v>619.94000000000005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1099.94</v>
      </c>
      <c r="W10" s="31">
        <f>V10</f>
        <v>1099.94</v>
      </c>
      <c r="X10" s="37"/>
    </row>
    <row r="11" spans="1:24" ht="25.5">
      <c r="A11" s="34" t="s">
        <v>231</v>
      </c>
      <c r="B11" s="34" t="s">
        <v>231</v>
      </c>
      <c r="C11" s="27" t="s">
        <v>86</v>
      </c>
      <c r="D11" s="29" t="s">
        <v>107</v>
      </c>
      <c r="E11" s="20" t="s">
        <v>87</v>
      </c>
      <c r="F11" s="34" t="s">
        <v>317</v>
      </c>
      <c r="G11" s="30" t="s">
        <v>36</v>
      </c>
      <c r="H11" s="27" t="s">
        <v>37</v>
      </c>
      <c r="I11" s="27" t="s">
        <v>38</v>
      </c>
      <c r="J11" s="27" t="s">
        <v>318</v>
      </c>
      <c r="K11" s="31" t="s">
        <v>40</v>
      </c>
      <c r="L11" s="35">
        <v>43355</v>
      </c>
      <c r="M11" s="35">
        <v>43356</v>
      </c>
      <c r="N11" s="31">
        <v>798.96</v>
      </c>
      <c r="O11" s="31">
        <v>832.14</v>
      </c>
      <c r="P11" s="31">
        <f t="shared" ref="P11:P19" si="0">SUM(O11:O11)</f>
        <v>832.14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9" si="1">(Q11*R11)+(S11*T11)</f>
        <v>0</v>
      </c>
      <c r="V11" s="31">
        <f t="shared" ref="V11:V19" si="2">U11+P11</f>
        <v>832.14</v>
      </c>
      <c r="W11" s="31">
        <f t="shared" ref="W11:W19" si="3">V11</f>
        <v>832.14</v>
      </c>
      <c r="X11" s="33"/>
    </row>
    <row r="12" spans="1:24" ht="25.5" customHeight="1">
      <c r="A12" s="34" t="s">
        <v>221</v>
      </c>
      <c r="B12" s="34" t="s">
        <v>221</v>
      </c>
      <c r="C12" s="27" t="s">
        <v>54</v>
      </c>
      <c r="D12" s="29" t="s">
        <v>88</v>
      </c>
      <c r="E12" s="20" t="s">
        <v>55</v>
      </c>
      <c r="F12" s="34" t="s">
        <v>317</v>
      </c>
      <c r="G12" s="30" t="s">
        <v>36</v>
      </c>
      <c r="H12" s="27" t="s">
        <v>37</v>
      </c>
      <c r="I12" s="27" t="s">
        <v>38</v>
      </c>
      <c r="J12" s="27" t="s">
        <v>318</v>
      </c>
      <c r="K12" s="31" t="s">
        <v>40</v>
      </c>
      <c r="L12" s="35">
        <v>43355</v>
      </c>
      <c r="M12" s="35">
        <v>43356</v>
      </c>
      <c r="N12" s="31">
        <v>798.96</v>
      </c>
      <c r="O12" s="31">
        <v>832.14</v>
      </c>
      <c r="P12" s="31">
        <f t="shared" si="0"/>
        <v>832.14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1312.1399999999999</v>
      </c>
      <c r="W12" s="31">
        <f t="shared" si="3"/>
        <v>1312.1399999999999</v>
      </c>
      <c r="X12" s="33"/>
    </row>
    <row r="13" spans="1:24" ht="38.25">
      <c r="A13" s="34" t="s">
        <v>221</v>
      </c>
      <c r="B13" s="34" t="s">
        <v>221</v>
      </c>
      <c r="C13" s="27" t="s">
        <v>54</v>
      </c>
      <c r="D13" s="29" t="s">
        <v>88</v>
      </c>
      <c r="E13" s="20" t="s">
        <v>55</v>
      </c>
      <c r="F13" s="34" t="s">
        <v>319</v>
      </c>
      <c r="G13" s="30" t="s">
        <v>36</v>
      </c>
      <c r="H13" s="27" t="s">
        <v>37</v>
      </c>
      <c r="I13" s="27" t="s">
        <v>38</v>
      </c>
      <c r="J13" s="27" t="s">
        <v>62</v>
      </c>
      <c r="K13" s="31" t="s">
        <v>63</v>
      </c>
      <c r="L13" s="35">
        <v>43362</v>
      </c>
      <c r="M13" s="35">
        <v>43363</v>
      </c>
      <c r="N13" s="31">
        <f>1395.51/2</f>
        <v>697.755</v>
      </c>
      <c r="O13" s="31">
        <f>1395.51/2</f>
        <v>697.755</v>
      </c>
      <c r="P13" s="31">
        <f t="shared" si="0"/>
        <v>697.755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1177.7550000000001</v>
      </c>
      <c r="W13" s="31">
        <f t="shared" si="3"/>
        <v>1177.7550000000001</v>
      </c>
      <c r="X13" s="33"/>
    </row>
    <row r="14" spans="1:24" ht="25.5">
      <c r="A14" s="34" t="s">
        <v>231</v>
      </c>
      <c r="B14" s="34" t="s">
        <v>231</v>
      </c>
      <c r="C14" s="27" t="s">
        <v>86</v>
      </c>
      <c r="D14" s="29" t="s">
        <v>107</v>
      </c>
      <c r="E14" s="20" t="s">
        <v>87</v>
      </c>
      <c r="F14" s="34" t="s">
        <v>319</v>
      </c>
      <c r="G14" s="30" t="s">
        <v>36</v>
      </c>
      <c r="H14" s="27" t="s">
        <v>37</v>
      </c>
      <c r="I14" s="27" t="s">
        <v>38</v>
      </c>
      <c r="J14" s="27" t="s">
        <v>62</v>
      </c>
      <c r="K14" s="31" t="s">
        <v>63</v>
      </c>
      <c r="L14" s="35">
        <v>43362</v>
      </c>
      <c r="M14" s="35">
        <v>43363</v>
      </c>
      <c r="N14" s="31">
        <f>1395.51/2</f>
        <v>697.755</v>
      </c>
      <c r="O14" s="31">
        <f>1395.51/2</f>
        <v>697.755</v>
      </c>
      <c r="P14" s="31">
        <f t="shared" si="0"/>
        <v>697.755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697.755</v>
      </c>
      <c r="W14" s="31">
        <f t="shared" si="3"/>
        <v>697.755</v>
      </c>
      <c r="X14" s="33"/>
    </row>
    <row r="15" spans="1:24" ht="25.5">
      <c r="A15" s="34" t="s">
        <v>253</v>
      </c>
      <c r="B15" s="34" t="s">
        <v>253</v>
      </c>
      <c r="C15" s="27" t="s">
        <v>223</v>
      </c>
      <c r="D15" s="29" t="s">
        <v>252</v>
      </c>
      <c r="E15" s="20" t="s">
        <v>50</v>
      </c>
      <c r="F15" s="34" t="s">
        <v>90</v>
      </c>
      <c r="G15" s="30" t="s">
        <v>36</v>
      </c>
      <c r="H15" s="27" t="s">
        <v>37</v>
      </c>
      <c r="I15" s="27" t="s">
        <v>38</v>
      </c>
      <c r="J15" s="27" t="s">
        <v>318</v>
      </c>
      <c r="K15" s="31" t="s">
        <v>40</v>
      </c>
      <c r="L15" s="35">
        <v>43356</v>
      </c>
      <c r="M15" s="35">
        <v>43357</v>
      </c>
      <c r="N15" s="31">
        <f>2186.59/2</f>
        <v>1093.2950000000001</v>
      </c>
      <c r="O15" s="31">
        <f>2186.59/2</f>
        <v>1093.2950000000001</v>
      </c>
      <c r="P15" s="31">
        <f t="shared" si="0"/>
        <v>1093.2950000000001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1093.2950000000001</v>
      </c>
      <c r="W15" s="31">
        <f t="shared" si="3"/>
        <v>1093.2950000000001</v>
      </c>
      <c r="X15" s="33"/>
    </row>
    <row r="16" spans="1:24" ht="14.25">
      <c r="A16" s="111" t="s">
        <v>253</v>
      </c>
      <c r="B16" s="111" t="s">
        <v>253</v>
      </c>
      <c r="C16" s="113" t="s">
        <v>320</v>
      </c>
      <c r="D16" s="107" t="s">
        <v>321</v>
      </c>
      <c r="E16" s="109" t="s">
        <v>78</v>
      </c>
      <c r="F16" s="111" t="s">
        <v>90</v>
      </c>
      <c r="G16" s="30" t="s">
        <v>36</v>
      </c>
      <c r="H16" s="27" t="s">
        <v>37</v>
      </c>
      <c r="I16" s="27" t="s">
        <v>38</v>
      </c>
      <c r="J16" s="27" t="s">
        <v>318</v>
      </c>
      <c r="K16" s="31" t="s">
        <v>40</v>
      </c>
      <c r="L16" s="121">
        <v>43356</v>
      </c>
      <c r="M16" s="121">
        <v>43357</v>
      </c>
      <c r="N16" s="31">
        <f>1465.14/2</f>
        <v>732.57</v>
      </c>
      <c r="O16" s="31"/>
      <c r="P16" s="117">
        <f>N16+O17</f>
        <v>1465.14</v>
      </c>
      <c r="Q16" s="113">
        <v>2</v>
      </c>
      <c r="R16" s="117">
        <v>120</v>
      </c>
      <c r="S16" s="113">
        <v>0</v>
      </c>
      <c r="T16" s="117">
        <v>0</v>
      </c>
      <c r="U16" s="119">
        <f t="shared" si="1"/>
        <v>240</v>
      </c>
      <c r="V16" s="117">
        <f t="shared" si="2"/>
        <v>1705.14</v>
      </c>
      <c r="W16" s="117">
        <f t="shared" si="3"/>
        <v>1705.14</v>
      </c>
      <c r="X16" s="115"/>
    </row>
    <row r="17" spans="1:24" ht="14.25">
      <c r="A17" s="112"/>
      <c r="B17" s="112"/>
      <c r="C17" s="114"/>
      <c r="D17" s="108"/>
      <c r="E17" s="110"/>
      <c r="F17" s="112"/>
      <c r="G17" s="30" t="s">
        <v>36</v>
      </c>
      <c r="H17" s="27" t="s">
        <v>318</v>
      </c>
      <c r="I17" s="31" t="s">
        <v>40</v>
      </c>
      <c r="J17" s="27" t="s">
        <v>62</v>
      </c>
      <c r="K17" s="31" t="s">
        <v>63</v>
      </c>
      <c r="L17" s="122"/>
      <c r="M17" s="122"/>
      <c r="N17" s="31"/>
      <c r="O17" s="31">
        <f>1465.14/2</f>
        <v>732.57</v>
      </c>
      <c r="P17" s="118"/>
      <c r="Q17" s="114"/>
      <c r="R17" s="118"/>
      <c r="S17" s="114"/>
      <c r="T17" s="118"/>
      <c r="U17" s="120"/>
      <c r="V17" s="118"/>
      <c r="W17" s="118"/>
      <c r="X17" s="116"/>
    </row>
    <row r="18" spans="1:24" ht="38.25">
      <c r="A18" s="34" t="s">
        <v>253</v>
      </c>
      <c r="B18" s="34" t="s">
        <v>322</v>
      </c>
      <c r="C18" s="27" t="s">
        <v>323</v>
      </c>
      <c r="D18" s="29" t="s">
        <v>324</v>
      </c>
      <c r="E18" s="20" t="s">
        <v>325</v>
      </c>
      <c r="F18" s="34" t="s">
        <v>326</v>
      </c>
      <c r="G18" s="30" t="s">
        <v>36</v>
      </c>
      <c r="H18" s="27" t="s">
        <v>37</v>
      </c>
      <c r="I18" s="27" t="s">
        <v>38</v>
      </c>
      <c r="J18" s="27" t="s">
        <v>318</v>
      </c>
      <c r="K18" s="31" t="s">
        <v>40</v>
      </c>
      <c r="L18" s="35">
        <v>43369</v>
      </c>
      <c r="M18" s="35">
        <v>43370</v>
      </c>
      <c r="N18" s="31">
        <f>2190/2</f>
        <v>1095</v>
      </c>
      <c r="O18" s="31">
        <f>2190/2</f>
        <v>1095</v>
      </c>
      <c r="P18" s="31">
        <f t="shared" si="0"/>
        <v>1095</v>
      </c>
      <c r="Q18" s="27">
        <v>4</v>
      </c>
      <c r="R18" s="31">
        <v>120</v>
      </c>
      <c r="S18" s="27">
        <v>0</v>
      </c>
      <c r="T18" s="31">
        <v>0</v>
      </c>
      <c r="U18" s="32">
        <f t="shared" si="1"/>
        <v>480</v>
      </c>
      <c r="V18" s="31">
        <f t="shared" si="2"/>
        <v>1575</v>
      </c>
      <c r="W18" s="31">
        <f t="shared" si="3"/>
        <v>1575</v>
      </c>
      <c r="X18" s="33"/>
    </row>
    <row r="19" spans="1:24" ht="38.25">
      <c r="A19" s="34" t="s">
        <v>253</v>
      </c>
      <c r="B19" s="34" t="s">
        <v>322</v>
      </c>
      <c r="C19" s="27" t="s">
        <v>327</v>
      </c>
      <c r="D19" s="29" t="s">
        <v>328</v>
      </c>
      <c r="E19" s="20" t="s">
        <v>329</v>
      </c>
      <c r="F19" s="34" t="s">
        <v>326</v>
      </c>
      <c r="G19" s="30" t="s">
        <v>36</v>
      </c>
      <c r="H19" s="27" t="s">
        <v>37</v>
      </c>
      <c r="I19" s="27" t="s">
        <v>38</v>
      </c>
      <c r="J19" s="27" t="s">
        <v>318</v>
      </c>
      <c r="K19" s="31" t="s">
        <v>40</v>
      </c>
      <c r="L19" s="35">
        <v>43369</v>
      </c>
      <c r="M19" s="35">
        <v>43370</v>
      </c>
      <c r="N19" s="31">
        <f>2190/2</f>
        <v>1095</v>
      </c>
      <c r="O19" s="31">
        <f>2190/2</f>
        <v>1095</v>
      </c>
      <c r="P19" s="31">
        <f t="shared" si="0"/>
        <v>1095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1575</v>
      </c>
      <c r="W19" s="31">
        <f t="shared" si="3"/>
        <v>1575</v>
      </c>
      <c r="X19" s="33"/>
    </row>
  </sheetData>
  <mergeCells count="44">
    <mergeCell ref="X16:X17"/>
    <mergeCell ref="A16:A17"/>
    <mergeCell ref="S16:S17"/>
    <mergeCell ref="T16:T17"/>
    <mergeCell ref="U16:U17"/>
    <mergeCell ref="V16:V17"/>
    <mergeCell ref="W16:W17"/>
    <mergeCell ref="L16:L17"/>
    <mergeCell ref="M16:M17"/>
    <mergeCell ref="P16:P17"/>
    <mergeCell ref="Q16:Q17"/>
    <mergeCell ref="R16:R17"/>
    <mergeCell ref="B16:B17"/>
    <mergeCell ref="C16:C17"/>
    <mergeCell ref="D16:D17"/>
    <mergeCell ref="E16:E17"/>
    <mergeCell ref="F16:F17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U8:U9"/>
    <mergeCell ref="V8:V9"/>
    <mergeCell ref="M8:M9"/>
    <mergeCell ref="N8:N9"/>
    <mergeCell ref="P8:P9"/>
    <mergeCell ref="Q8:R8"/>
    <mergeCell ref="S8:T8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X21"/>
  <sheetViews>
    <sheetView workbookViewId="0">
      <selection activeCell="D21" sqref="D21:E21"/>
    </sheetView>
  </sheetViews>
  <sheetFormatPr defaultRowHeight="15" customHeight="1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62" t="s">
        <v>0</v>
      </c>
      <c r="W5" s="162"/>
      <c r="X5" s="8">
        <v>43374</v>
      </c>
    </row>
    <row r="6" spans="1:24">
      <c r="A6" s="96" t="s">
        <v>1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</row>
    <row r="7" spans="1:24">
      <c r="A7" s="96" t="s">
        <v>2</v>
      </c>
      <c r="B7" s="96"/>
      <c r="C7" s="96" t="s">
        <v>3</v>
      </c>
      <c r="D7" s="96"/>
      <c r="E7" s="96"/>
      <c r="F7" s="96" t="s">
        <v>4</v>
      </c>
      <c r="G7" s="96"/>
      <c r="H7" s="96"/>
      <c r="I7" s="96"/>
      <c r="J7" s="96"/>
      <c r="K7" s="96"/>
      <c r="L7" s="96"/>
      <c r="M7" s="96"/>
      <c r="N7" s="96" t="s">
        <v>5</v>
      </c>
      <c r="O7" s="96"/>
      <c r="P7" s="96"/>
      <c r="Q7" s="96" t="s">
        <v>6</v>
      </c>
      <c r="R7" s="96"/>
      <c r="S7" s="96"/>
      <c r="T7" s="96"/>
      <c r="U7" s="96"/>
      <c r="V7" s="96"/>
      <c r="W7" s="96" t="s">
        <v>7</v>
      </c>
      <c r="X7" s="96" t="s">
        <v>8</v>
      </c>
    </row>
    <row r="8" spans="1:24" s="9" customFormat="1">
      <c r="A8" s="97" t="s">
        <v>9</v>
      </c>
      <c r="B8" s="97" t="s">
        <v>10</v>
      </c>
      <c r="C8" s="97" t="s">
        <v>11</v>
      </c>
      <c r="D8" s="97" t="s">
        <v>12</v>
      </c>
      <c r="E8" s="97" t="s">
        <v>13</v>
      </c>
      <c r="F8" s="97" t="s">
        <v>14</v>
      </c>
      <c r="G8" s="97" t="s">
        <v>15</v>
      </c>
      <c r="H8" s="97" t="s">
        <v>16</v>
      </c>
      <c r="I8" s="97"/>
      <c r="J8" s="98" t="s">
        <v>17</v>
      </c>
      <c r="K8" s="98"/>
      <c r="L8" s="97" t="s">
        <v>18</v>
      </c>
      <c r="M8" s="97" t="s">
        <v>19</v>
      </c>
      <c r="N8" s="98" t="s">
        <v>20</v>
      </c>
      <c r="O8" s="98" t="s">
        <v>21</v>
      </c>
      <c r="P8" s="98" t="s">
        <v>22</v>
      </c>
      <c r="Q8" s="98" t="s">
        <v>23</v>
      </c>
      <c r="R8" s="98"/>
      <c r="S8" s="98" t="s">
        <v>24</v>
      </c>
      <c r="T8" s="98"/>
      <c r="U8" s="97" t="s">
        <v>25</v>
      </c>
      <c r="V8" s="98" t="s">
        <v>22</v>
      </c>
      <c r="W8" s="96"/>
      <c r="X8" s="96"/>
    </row>
    <row r="9" spans="1:24" s="9" customFormat="1" ht="17.25" customHeight="1">
      <c r="A9" s="97"/>
      <c r="B9" s="97"/>
      <c r="C9" s="97"/>
      <c r="D9" s="97"/>
      <c r="E9" s="97"/>
      <c r="F9" s="97"/>
      <c r="G9" s="97"/>
      <c r="H9" s="10" t="s">
        <v>26</v>
      </c>
      <c r="I9" s="10" t="s">
        <v>27</v>
      </c>
      <c r="J9" s="10" t="s">
        <v>26</v>
      </c>
      <c r="K9" s="11" t="s">
        <v>28</v>
      </c>
      <c r="L9" s="97"/>
      <c r="M9" s="97"/>
      <c r="N9" s="98"/>
      <c r="O9" s="98"/>
      <c r="P9" s="98"/>
      <c r="Q9" s="10" t="s">
        <v>29</v>
      </c>
      <c r="R9" s="11" t="s">
        <v>30</v>
      </c>
      <c r="S9" s="10" t="s">
        <v>29</v>
      </c>
      <c r="T9" s="11" t="s">
        <v>30</v>
      </c>
      <c r="U9" s="97"/>
      <c r="V9" s="98"/>
      <c r="W9" s="96"/>
      <c r="X9" s="96"/>
    </row>
    <row r="10" spans="1:24" ht="25.5">
      <c r="A10" s="34" t="s">
        <v>253</v>
      </c>
      <c r="B10" s="34" t="s">
        <v>288</v>
      </c>
      <c r="C10" s="50" t="s">
        <v>330</v>
      </c>
      <c r="D10" s="29" t="s">
        <v>331</v>
      </c>
      <c r="E10" s="20" t="s">
        <v>332</v>
      </c>
      <c r="F10" s="34" t="s">
        <v>333</v>
      </c>
      <c r="G10" s="30" t="s">
        <v>36</v>
      </c>
      <c r="H10" s="27" t="s">
        <v>37</v>
      </c>
      <c r="I10" s="27" t="s">
        <v>38</v>
      </c>
      <c r="J10" s="27" t="s">
        <v>334</v>
      </c>
      <c r="K10" s="31" t="s">
        <v>335</v>
      </c>
      <c r="L10" s="35">
        <v>43387</v>
      </c>
      <c r="M10" s="35">
        <v>43392</v>
      </c>
      <c r="N10" s="31">
        <f>2584.59/2</f>
        <v>1292.2950000000001</v>
      </c>
      <c r="O10" s="31">
        <f>2584.59/2</f>
        <v>1292.2950000000001</v>
      </c>
      <c r="P10" s="31">
        <f>SUM(O10:O10)</f>
        <v>1292.2950000000001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2012.2950000000001</v>
      </c>
      <c r="W10" s="31">
        <f>V10</f>
        <v>2012.2950000000001</v>
      </c>
      <c r="X10" s="37"/>
    </row>
    <row r="11" spans="1:24" ht="38.25">
      <c r="A11" s="34" t="s">
        <v>231</v>
      </c>
      <c r="B11" s="34" t="s">
        <v>336</v>
      </c>
      <c r="C11" s="27" t="s">
        <v>65</v>
      </c>
      <c r="D11" s="29" t="s">
        <v>66</v>
      </c>
      <c r="E11" s="20" t="s">
        <v>337</v>
      </c>
      <c r="F11" s="34" t="s">
        <v>338</v>
      </c>
      <c r="G11" s="30" t="s">
        <v>36</v>
      </c>
      <c r="H11" s="27" t="s">
        <v>37</v>
      </c>
      <c r="I11" s="27" t="s">
        <v>38</v>
      </c>
      <c r="J11" s="27" t="s">
        <v>339</v>
      </c>
      <c r="K11" s="31" t="s">
        <v>340</v>
      </c>
      <c r="L11" s="35">
        <v>43395</v>
      </c>
      <c r="M11" s="35">
        <v>43397</v>
      </c>
      <c r="N11" s="31">
        <f>1196.44/2</f>
        <v>598.22</v>
      </c>
      <c r="O11" s="31">
        <f>1196.44/2</f>
        <v>598.22</v>
      </c>
      <c r="P11" s="31">
        <f t="shared" ref="P11:P21" si="0">SUM(O11:O11)</f>
        <v>598.22</v>
      </c>
      <c r="Q11" s="27">
        <v>3</v>
      </c>
      <c r="R11" s="31">
        <v>120</v>
      </c>
      <c r="S11" s="27">
        <v>3</v>
      </c>
      <c r="T11" s="31">
        <v>100</v>
      </c>
      <c r="U11" s="32">
        <f t="shared" ref="U11:U21" si="1">(Q11*R11)+(S11*T11)</f>
        <v>660</v>
      </c>
      <c r="V11" s="31">
        <f t="shared" ref="V11:V21" si="2">U11+P11</f>
        <v>1258.22</v>
      </c>
      <c r="W11" s="31">
        <f t="shared" ref="W11:W21" si="3">V11</f>
        <v>1258.22</v>
      </c>
      <c r="X11" s="33"/>
    </row>
    <row r="12" spans="1:24" ht="25.5" customHeight="1">
      <c r="A12" s="34" t="s">
        <v>231</v>
      </c>
      <c r="B12" s="34" t="s">
        <v>336</v>
      </c>
      <c r="C12" s="27" t="s">
        <v>246</v>
      </c>
      <c r="D12" s="29" t="s">
        <v>247</v>
      </c>
      <c r="E12" s="20" t="s">
        <v>341</v>
      </c>
      <c r="F12" s="34" t="s">
        <v>342</v>
      </c>
      <c r="G12" s="30" t="s">
        <v>36</v>
      </c>
      <c r="H12" s="27" t="s">
        <v>37</v>
      </c>
      <c r="I12" s="27" t="s">
        <v>38</v>
      </c>
      <c r="J12" s="27" t="s">
        <v>39</v>
      </c>
      <c r="K12" s="31" t="s">
        <v>40</v>
      </c>
      <c r="L12" s="35">
        <v>43375</v>
      </c>
      <c r="M12" s="35">
        <v>43378</v>
      </c>
      <c r="N12" s="31">
        <v>803.47</v>
      </c>
      <c r="O12" s="31">
        <v>805.74</v>
      </c>
      <c r="P12" s="31">
        <f t="shared" si="0"/>
        <v>805.74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1285.74</v>
      </c>
      <c r="W12" s="31">
        <f t="shared" si="3"/>
        <v>1285.74</v>
      </c>
      <c r="X12" s="33"/>
    </row>
    <row r="13" spans="1:24" ht="25.5">
      <c r="A13" s="34" t="s">
        <v>253</v>
      </c>
      <c r="B13" s="34" t="s">
        <v>253</v>
      </c>
      <c r="C13" s="27" t="s">
        <v>320</v>
      </c>
      <c r="D13" s="29" t="s">
        <v>321</v>
      </c>
      <c r="E13" s="20" t="s">
        <v>343</v>
      </c>
      <c r="F13" s="34" t="s">
        <v>344</v>
      </c>
      <c r="G13" s="30" t="s">
        <v>36</v>
      </c>
      <c r="H13" s="27" t="s">
        <v>37</v>
      </c>
      <c r="I13" s="27" t="s">
        <v>38</v>
      </c>
      <c r="J13" s="27" t="s">
        <v>62</v>
      </c>
      <c r="K13" s="31" t="s">
        <v>63</v>
      </c>
      <c r="L13" s="35">
        <v>43387</v>
      </c>
      <c r="M13" s="35">
        <v>43390</v>
      </c>
      <c r="N13" s="31">
        <f>2360/2</f>
        <v>1180</v>
      </c>
      <c r="O13" s="31">
        <f>2360/2</f>
        <v>1180</v>
      </c>
      <c r="P13" s="31">
        <f t="shared" si="0"/>
        <v>1180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1660</v>
      </c>
      <c r="W13" s="31">
        <f t="shared" si="3"/>
        <v>1660</v>
      </c>
      <c r="X13" s="33"/>
    </row>
    <row r="14" spans="1:24" ht="38.25">
      <c r="A14" s="34" t="s">
        <v>253</v>
      </c>
      <c r="B14" s="34" t="s">
        <v>288</v>
      </c>
      <c r="C14" s="27" t="s">
        <v>345</v>
      </c>
      <c r="D14" s="29" t="s">
        <v>346</v>
      </c>
      <c r="E14" s="20" t="s">
        <v>315</v>
      </c>
      <c r="F14" s="34" t="s">
        <v>347</v>
      </c>
      <c r="G14" s="30" t="s">
        <v>36</v>
      </c>
      <c r="H14" s="27" t="s">
        <v>37</v>
      </c>
      <c r="I14" s="27" t="s">
        <v>38</v>
      </c>
      <c r="J14" s="27" t="s">
        <v>334</v>
      </c>
      <c r="K14" s="31" t="s">
        <v>335</v>
      </c>
      <c r="L14" s="35">
        <v>43387</v>
      </c>
      <c r="M14" s="35">
        <v>43392</v>
      </c>
      <c r="N14" s="31">
        <f>2338.19/2</f>
        <v>1169.095</v>
      </c>
      <c r="O14" s="31">
        <f>2338.19/2</f>
        <v>1169.095</v>
      </c>
      <c r="P14" s="31">
        <f t="shared" si="0"/>
        <v>1169.095</v>
      </c>
      <c r="Q14" s="27">
        <v>8</v>
      </c>
      <c r="R14" s="31">
        <v>120</v>
      </c>
      <c r="S14" s="27">
        <v>0</v>
      </c>
      <c r="T14" s="31">
        <v>0</v>
      </c>
      <c r="U14" s="32">
        <f t="shared" si="1"/>
        <v>960</v>
      </c>
      <c r="V14" s="31">
        <f t="shared" si="2"/>
        <v>2129.0950000000003</v>
      </c>
      <c r="W14" s="31">
        <f t="shared" si="3"/>
        <v>2129.0950000000003</v>
      </c>
      <c r="X14" s="33"/>
    </row>
    <row r="15" spans="1:24" ht="38.25">
      <c r="A15" s="34" t="s">
        <v>272</v>
      </c>
      <c r="B15" s="34" t="s">
        <v>273</v>
      </c>
      <c r="C15" s="27" t="s">
        <v>201</v>
      </c>
      <c r="D15" s="29" t="s">
        <v>202</v>
      </c>
      <c r="E15" s="20" t="s">
        <v>348</v>
      </c>
      <c r="F15" s="34" t="s">
        <v>349</v>
      </c>
      <c r="G15" s="30" t="s">
        <v>36</v>
      </c>
      <c r="H15" s="27" t="s">
        <v>37</v>
      </c>
      <c r="I15" s="27" t="s">
        <v>38</v>
      </c>
      <c r="J15" s="27" t="s">
        <v>39</v>
      </c>
      <c r="K15" s="31" t="s">
        <v>40</v>
      </c>
      <c r="L15" s="35">
        <v>43402</v>
      </c>
      <c r="M15" s="35">
        <v>43403</v>
      </c>
      <c r="N15" s="31">
        <f>1157.22/2</f>
        <v>578.61</v>
      </c>
      <c r="O15" s="31">
        <f>1157.22/2</f>
        <v>578.61</v>
      </c>
      <c r="P15" s="31">
        <f t="shared" si="0"/>
        <v>578.61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938.61</v>
      </c>
      <c r="W15" s="31">
        <f t="shared" si="3"/>
        <v>938.61</v>
      </c>
      <c r="X15" s="33"/>
    </row>
    <row r="16" spans="1:24" ht="25.5">
      <c r="A16" s="34" t="s">
        <v>253</v>
      </c>
      <c r="B16" s="34" t="s">
        <v>322</v>
      </c>
      <c r="C16" s="27" t="s">
        <v>350</v>
      </c>
      <c r="D16" s="29" t="s">
        <v>351</v>
      </c>
      <c r="E16" s="20" t="s">
        <v>352</v>
      </c>
      <c r="F16" s="34" t="s">
        <v>353</v>
      </c>
      <c r="G16" s="30" t="s">
        <v>36</v>
      </c>
      <c r="H16" s="27" t="s">
        <v>37</v>
      </c>
      <c r="I16" s="27" t="s">
        <v>38</v>
      </c>
      <c r="J16" s="27" t="s">
        <v>116</v>
      </c>
      <c r="K16" s="31" t="s">
        <v>117</v>
      </c>
      <c r="L16" s="35">
        <v>43399</v>
      </c>
      <c r="M16" s="35">
        <v>43399</v>
      </c>
      <c r="N16" s="31">
        <f>870.84/2</f>
        <v>435.42</v>
      </c>
      <c r="O16" s="31">
        <f>870.84/2</f>
        <v>435.42</v>
      </c>
      <c r="P16" s="31">
        <f t="shared" si="0"/>
        <v>435.42</v>
      </c>
      <c r="Q16" s="27">
        <v>1</v>
      </c>
      <c r="R16" s="31">
        <v>120</v>
      </c>
      <c r="S16" s="27">
        <v>2</v>
      </c>
      <c r="T16" s="31">
        <v>100</v>
      </c>
      <c r="U16" s="32">
        <f t="shared" si="1"/>
        <v>320</v>
      </c>
      <c r="V16" s="31">
        <f t="shared" si="2"/>
        <v>755.42000000000007</v>
      </c>
      <c r="W16" s="31">
        <f t="shared" si="3"/>
        <v>755.42000000000007</v>
      </c>
      <c r="X16" s="33"/>
    </row>
    <row r="17" spans="1:24" ht="51">
      <c r="A17" s="34" t="s">
        <v>253</v>
      </c>
      <c r="B17" s="34" t="s">
        <v>322</v>
      </c>
      <c r="C17" s="27" t="s">
        <v>354</v>
      </c>
      <c r="D17" s="29" t="s">
        <v>355</v>
      </c>
      <c r="E17" s="20" t="s">
        <v>356</v>
      </c>
      <c r="F17" s="34" t="s">
        <v>353</v>
      </c>
      <c r="G17" s="30" t="s">
        <v>36</v>
      </c>
      <c r="H17" s="27" t="s">
        <v>37</v>
      </c>
      <c r="I17" s="27" t="s">
        <v>38</v>
      </c>
      <c r="J17" s="27" t="s">
        <v>116</v>
      </c>
      <c r="K17" s="31" t="s">
        <v>117</v>
      </c>
      <c r="L17" s="35">
        <v>43399</v>
      </c>
      <c r="M17" s="35">
        <v>43399</v>
      </c>
      <c r="N17" s="31">
        <f>870.84/2</f>
        <v>435.42</v>
      </c>
      <c r="O17" s="31">
        <f>870.84/2</f>
        <v>435.42</v>
      </c>
      <c r="P17" s="31">
        <f t="shared" si="0"/>
        <v>435.42</v>
      </c>
      <c r="Q17" s="27">
        <v>1</v>
      </c>
      <c r="R17" s="31">
        <v>120</v>
      </c>
      <c r="S17" s="27">
        <v>2</v>
      </c>
      <c r="T17" s="31">
        <v>100</v>
      </c>
      <c r="U17" s="32">
        <f t="shared" si="1"/>
        <v>320</v>
      </c>
      <c r="V17" s="31">
        <f t="shared" si="2"/>
        <v>755.42000000000007</v>
      </c>
      <c r="W17" s="31">
        <f t="shared" si="3"/>
        <v>755.42000000000007</v>
      </c>
      <c r="X17" s="33"/>
    </row>
    <row r="18" spans="1:24" ht="25.5" customHeight="1">
      <c r="A18" s="34" t="s">
        <v>253</v>
      </c>
      <c r="B18" s="34" t="s">
        <v>212</v>
      </c>
      <c r="C18" s="27" t="s">
        <v>330</v>
      </c>
      <c r="D18" s="29" t="s">
        <v>331</v>
      </c>
      <c r="E18" s="20" t="s">
        <v>332</v>
      </c>
      <c r="F18" s="34" t="s">
        <v>349</v>
      </c>
      <c r="G18" s="30" t="s">
        <v>36</v>
      </c>
      <c r="H18" s="27" t="s">
        <v>37</v>
      </c>
      <c r="I18" s="27" t="s">
        <v>38</v>
      </c>
      <c r="J18" s="27" t="s">
        <v>39</v>
      </c>
      <c r="K18" s="31" t="s">
        <v>40</v>
      </c>
      <c r="L18" s="35">
        <v>43402</v>
      </c>
      <c r="M18" s="35">
        <v>43403</v>
      </c>
      <c r="N18" s="31">
        <f>1157.21/2</f>
        <v>578.60500000000002</v>
      </c>
      <c r="O18" s="31">
        <f>1157.21/2</f>
        <v>578.60500000000002</v>
      </c>
      <c r="P18" s="31">
        <f t="shared" si="0"/>
        <v>578.60500000000002</v>
      </c>
      <c r="Q18" s="27">
        <v>2</v>
      </c>
      <c r="R18" s="31">
        <v>120</v>
      </c>
      <c r="S18" s="27">
        <v>0</v>
      </c>
      <c r="T18" s="31">
        <v>0</v>
      </c>
      <c r="U18" s="32">
        <f t="shared" si="1"/>
        <v>240</v>
      </c>
      <c r="V18" s="31">
        <f t="shared" si="2"/>
        <v>818.60500000000002</v>
      </c>
      <c r="W18" s="31">
        <f t="shared" si="3"/>
        <v>818.60500000000002</v>
      </c>
      <c r="X18" s="33"/>
    </row>
    <row r="19" spans="1:24" ht="25.5">
      <c r="A19" s="34" t="s">
        <v>231</v>
      </c>
      <c r="B19" s="34" t="s">
        <v>231</v>
      </c>
      <c r="C19" s="27" t="s">
        <v>86</v>
      </c>
      <c r="D19" s="29" t="s">
        <v>107</v>
      </c>
      <c r="E19" s="20" t="s">
        <v>87</v>
      </c>
      <c r="F19" s="34" t="s">
        <v>357</v>
      </c>
      <c r="G19" s="30" t="s">
        <v>36</v>
      </c>
      <c r="H19" s="27" t="s">
        <v>37</v>
      </c>
      <c r="I19" s="27" t="s">
        <v>38</v>
      </c>
      <c r="J19" s="27" t="s">
        <v>39</v>
      </c>
      <c r="K19" s="31" t="s">
        <v>40</v>
      </c>
      <c r="L19" s="35">
        <v>43390</v>
      </c>
      <c r="M19" s="35">
        <v>43391</v>
      </c>
      <c r="N19" s="31">
        <f>2921.39/2</f>
        <v>1460.6949999999999</v>
      </c>
      <c r="O19" s="31">
        <f>2921.39/2</f>
        <v>1460.6949999999999</v>
      </c>
      <c r="P19" s="31">
        <f t="shared" si="0"/>
        <v>1460.6949999999999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1460.6949999999999</v>
      </c>
      <c r="W19" s="31">
        <f t="shared" si="3"/>
        <v>1460.6949999999999</v>
      </c>
      <c r="X19" s="33"/>
    </row>
    <row r="20" spans="1:24" ht="38.25">
      <c r="A20" s="34" t="s">
        <v>272</v>
      </c>
      <c r="B20" s="34" t="s">
        <v>272</v>
      </c>
      <c r="C20" s="27" t="s">
        <v>79</v>
      </c>
      <c r="D20" s="29" t="s">
        <v>107</v>
      </c>
      <c r="E20" s="20" t="s">
        <v>80</v>
      </c>
      <c r="F20" s="34" t="s">
        <v>358</v>
      </c>
      <c r="G20" s="30" t="s">
        <v>36</v>
      </c>
      <c r="H20" s="27" t="s">
        <v>37</v>
      </c>
      <c r="I20" s="27" t="s">
        <v>38</v>
      </c>
      <c r="J20" s="27" t="s">
        <v>62</v>
      </c>
      <c r="K20" s="31" t="s">
        <v>63</v>
      </c>
      <c r="L20" s="35">
        <v>43397</v>
      </c>
      <c r="M20" s="35">
        <v>43398</v>
      </c>
      <c r="N20" s="31">
        <f>1301.43/2</f>
        <v>650.71500000000003</v>
      </c>
      <c r="O20" s="31">
        <f>1301.43/2</f>
        <v>650.71500000000003</v>
      </c>
      <c r="P20" s="31">
        <f t="shared" si="0"/>
        <v>650.71500000000003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2"/>
        <v>650.71500000000003</v>
      </c>
      <c r="W20" s="31">
        <f t="shared" si="3"/>
        <v>650.71500000000003</v>
      </c>
      <c r="X20" s="33"/>
    </row>
    <row r="21" spans="1:24" ht="38.25">
      <c r="A21" s="34" t="s">
        <v>272</v>
      </c>
      <c r="B21" s="34" t="s">
        <v>226</v>
      </c>
      <c r="C21" s="27" t="s">
        <v>46</v>
      </c>
      <c r="D21" s="29" t="s">
        <v>69</v>
      </c>
      <c r="E21" s="20" t="s">
        <v>359</v>
      </c>
      <c r="F21" s="34" t="s">
        <v>360</v>
      </c>
      <c r="G21" s="30" t="s">
        <v>36</v>
      </c>
      <c r="H21" s="27" t="s">
        <v>37</v>
      </c>
      <c r="I21" s="27" t="s">
        <v>38</v>
      </c>
      <c r="J21" s="27" t="s">
        <v>39</v>
      </c>
      <c r="K21" s="31" t="s">
        <v>40</v>
      </c>
      <c r="L21" s="35">
        <v>43402</v>
      </c>
      <c r="M21" s="35">
        <v>43405</v>
      </c>
      <c r="N21" s="31">
        <f>1629.46/2</f>
        <v>814.73</v>
      </c>
      <c r="O21" s="31">
        <f>1629.46/2</f>
        <v>814.73</v>
      </c>
      <c r="P21" s="31">
        <f t="shared" si="0"/>
        <v>814.73</v>
      </c>
      <c r="Q21" s="27">
        <v>7</v>
      </c>
      <c r="R21" s="31">
        <v>120</v>
      </c>
      <c r="S21" s="27">
        <v>0</v>
      </c>
      <c r="T21" s="31">
        <v>0</v>
      </c>
      <c r="U21" s="32">
        <f t="shared" si="1"/>
        <v>840</v>
      </c>
      <c r="V21" s="31">
        <f t="shared" si="2"/>
        <v>1654.73</v>
      </c>
      <c r="W21" s="31">
        <f t="shared" si="3"/>
        <v>1654.73</v>
      </c>
      <c r="X21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X26"/>
  <sheetViews>
    <sheetView topLeftCell="A7" workbookViewId="0">
      <selection activeCell="E21" sqref="E21:E22"/>
    </sheetView>
  </sheetViews>
  <sheetFormatPr defaultRowHeight="15" customHeight="1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62" t="s">
        <v>0</v>
      </c>
      <c r="W5" s="162"/>
      <c r="X5" s="8">
        <v>43405</v>
      </c>
    </row>
    <row r="6" spans="1:24">
      <c r="A6" s="96" t="s">
        <v>1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</row>
    <row r="7" spans="1:24">
      <c r="A7" s="96" t="s">
        <v>2</v>
      </c>
      <c r="B7" s="96"/>
      <c r="C7" s="96" t="s">
        <v>3</v>
      </c>
      <c r="D7" s="96"/>
      <c r="E7" s="96"/>
      <c r="F7" s="96" t="s">
        <v>4</v>
      </c>
      <c r="G7" s="96"/>
      <c r="H7" s="96"/>
      <c r="I7" s="96"/>
      <c r="J7" s="96"/>
      <c r="K7" s="96"/>
      <c r="L7" s="96"/>
      <c r="M7" s="96"/>
      <c r="N7" s="96" t="s">
        <v>5</v>
      </c>
      <c r="O7" s="96"/>
      <c r="P7" s="96"/>
      <c r="Q7" s="96" t="s">
        <v>6</v>
      </c>
      <c r="R7" s="96"/>
      <c r="S7" s="96"/>
      <c r="T7" s="96"/>
      <c r="U7" s="96"/>
      <c r="V7" s="96"/>
      <c r="W7" s="96" t="s">
        <v>7</v>
      </c>
      <c r="X7" s="96" t="s">
        <v>8</v>
      </c>
    </row>
    <row r="8" spans="1:24" s="9" customFormat="1">
      <c r="A8" s="97" t="s">
        <v>9</v>
      </c>
      <c r="B8" s="97" t="s">
        <v>10</v>
      </c>
      <c r="C8" s="97" t="s">
        <v>11</v>
      </c>
      <c r="D8" s="97" t="s">
        <v>12</v>
      </c>
      <c r="E8" s="97" t="s">
        <v>13</v>
      </c>
      <c r="F8" s="97" t="s">
        <v>14</v>
      </c>
      <c r="G8" s="97" t="s">
        <v>15</v>
      </c>
      <c r="H8" s="97" t="s">
        <v>16</v>
      </c>
      <c r="I8" s="97"/>
      <c r="J8" s="98" t="s">
        <v>17</v>
      </c>
      <c r="K8" s="98"/>
      <c r="L8" s="97" t="s">
        <v>18</v>
      </c>
      <c r="M8" s="97" t="s">
        <v>19</v>
      </c>
      <c r="N8" s="98" t="s">
        <v>20</v>
      </c>
      <c r="O8" s="98" t="s">
        <v>21</v>
      </c>
      <c r="P8" s="98" t="s">
        <v>22</v>
      </c>
      <c r="Q8" s="98" t="s">
        <v>23</v>
      </c>
      <c r="R8" s="98"/>
      <c r="S8" s="98" t="s">
        <v>24</v>
      </c>
      <c r="T8" s="98"/>
      <c r="U8" s="97" t="s">
        <v>25</v>
      </c>
      <c r="V8" s="98" t="s">
        <v>22</v>
      </c>
      <c r="W8" s="96"/>
      <c r="X8" s="96"/>
    </row>
    <row r="9" spans="1:24" s="9" customFormat="1" ht="17.25" customHeight="1">
      <c r="A9" s="97"/>
      <c r="B9" s="97"/>
      <c r="C9" s="97"/>
      <c r="D9" s="97"/>
      <c r="E9" s="97"/>
      <c r="F9" s="97"/>
      <c r="G9" s="97"/>
      <c r="H9" s="10" t="s">
        <v>26</v>
      </c>
      <c r="I9" s="10" t="s">
        <v>27</v>
      </c>
      <c r="J9" s="10" t="s">
        <v>26</v>
      </c>
      <c r="K9" s="11" t="s">
        <v>28</v>
      </c>
      <c r="L9" s="97"/>
      <c r="M9" s="97"/>
      <c r="N9" s="98"/>
      <c r="O9" s="98"/>
      <c r="P9" s="98"/>
      <c r="Q9" s="10" t="s">
        <v>29</v>
      </c>
      <c r="R9" s="11" t="s">
        <v>30</v>
      </c>
      <c r="S9" s="10" t="s">
        <v>29</v>
      </c>
      <c r="T9" s="11" t="s">
        <v>30</v>
      </c>
      <c r="U9" s="97"/>
      <c r="V9" s="98"/>
      <c r="W9" s="96"/>
      <c r="X9" s="96"/>
    </row>
    <row r="10" spans="1:24" ht="25.5">
      <c r="A10" s="34" t="s">
        <v>231</v>
      </c>
      <c r="B10" s="34" t="s">
        <v>241</v>
      </c>
      <c r="C10" s="27" t="s">
        <v>130</v>
      </c>
      <c r="D10" s="29" t="s">
        <v>131</v>
      </c>
      <c r="E10" s="20" t="s">
        <v>361</v>
      </c>
      <c r="F10" s="34" t="s">
        <v>362</v>
      </c>
      <c r="G10" s="30" t="s">
        <v>36</v>
      </c>
      <c r="H10" s="27" t="s">
        <v>37</v>
      </c>
      <c r="I10" s="27" t="s">
        <v>38</v>
      </c>
      <c r="J10" s="27" t="s">
        <v>104</v>
      </c>
      <c r="K10" s="31" t="s">
        <v>105</v>
      </c>
      <c r="L10" s="35">
        <v>43411</v>
      </c>
      <c r="M10" s="35">
        <v>43413</v>
      </c>
      <c r="N10" s="31">
        <v>613.16999999999996</v>
      </c>
      <c r="O10" s="31">
        <v>842.57</v>
      </c>
      <c r="P10" s="31">
        <f>SUM(O10:O10)</f>
        <v>842.57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1202.5700000000002</v>
      </c>
      <c r="W10" s="31">
        <f>V10</f>
        <v>1202.5700000000002</v>
      </c>
      <c r="X10" s="37"/>
    </row>
    <row r="11" spans="1:24" ht="25.5">
      <c r="A11" s="34" t="s">
        <v>231</v>
      </c>
      <c r="B11" s="34" t="s">
        <v>221</v>
      </c>
      <c r="C11" s="27" t="s">
        <v>54</v>
      </c>
      <c r="D11" s="29" t="s">
        <v>88</v>
      </c>
      <c r="E11" s="20" t="s">
        <v>55</v>
      </c>
      <c r="F11" s="34" t="s">
        <v>362</v>
      </c>
      <c r="G11" s="30" t="s">
        <v>36</v>
      </c>
      <c r="H11" s="27" t="s">
        <v>37</v>
      </c>
      <c r="I11" s="27" t="s">
        <v>38</v>
      </c>
      <c r="J11" s="27" t="s">
        <v>104</v>
      </c>
      <c r="K11" s="31" t="s">
        <v>105</v>
      </c>
      <c r="L11" s="35">
        <v>43411</v>
      </c>
      <c r="M11" s="35">
        <v>43412</v>
      </c>
      <c r="N11" s="31">
        <f>817.47/2</f>
        <v>408.73500000000001</v>
      </c>
      <c r="O11" s="31">
        <f>817.47/2</f>
        <v>408.73500000000001</v>
      </c>
      <c r="P11" s="31">
        <f t="shared" ref="P11:P26" si="0">SUM(O11:O11)</f>
        <v>408.73500000000001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888.73500000000001</v>
      </c>
      <c r="W11" s="31">
        <f t="shared" ref="W11:W26" si="3">V11</f>
        <v>888.73500000000001</v>
      </c>
      <c r="X11" s="33"/>
    </row>
    <row r="12" spans="1:24" ht="25.5" customHeight="1">
      <c r="A12" s="34" t="s">
        <v>231</v>
      </c>
      <c r="B12" s="34" t="s">
        <v>231</v>
      </c>
      <c r="C12" s="27" t="s">
        <v>86</v>
      </c>
      <c r="D12" s="29" t="s">
        <v>77</v>
      </c>
      <c r="E12" s="20" t="s">
        <v>87</v>
      </c>
      <c r="F12" s="34" t="s">
        <v>362</v>
      </c>
      <c r="G12" s="30" t="s">
        <v>36</v>
      </c>
      <c r="H12" s="27" t="s">
        <v>37</v>
      </c>
      <c r="I12" s="27" t="s">
        <v>38</v>
      </c>
      <c r="J12" s="27" t="s">
        <v>104</v>
      </c>
      <c r="K12" s="31" t="s">
        <v>105</v>
      </c>
      <c r="L12" s="35">
        <v>43411</v>
      </c>
      <c r="M12" s="35">
        <v>43412</v>
      </c>
      <c r="N12" s="31">
        <f>1376.41/2</f>
        <v>688.20500000000004</v>
      </c>
      <c r="O12" s="31">
        <f>1376.41/2</f>
        <v>688.20500000000004</v>
      </c>
      <c r="P12" s="31">
        <f t="shared" si="0"/>
        <v>688.20500000000004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688.20500000000004</v>
      </c>
      <c r="W12" s="31">
        <f t="shared" si="3"/>
        <v>688.20500000000004</v>
      </c>
      <c r="X12" s="33"/>
    </row>
    <row r="13" spans="1:24" ht="38.25">
      <c r="A13" s="34" t="s">
        <v>231</v>
      </c>
      <c r="B13" s="34" t="s">
        <v>215</v>
      </c>
      <c r="C13" s="27" t="s">
        <v>216</v>
      </c>
      <c r="D13" s="29" t="s">
        <v>363</v>
      </c>
      <c r="E13" s="20" t="s">
        <v>218</v>
      </c>
      <c r="F13" s="34" t="s">
        <v>364</v>
      </c>
      <c r="G13" s="30" t="s">
        <v>36</v>
      </c>
      <c r="H13" s="27" t="s">
        <v>37</v>
      </c>
      <c r="I13" s="27" t="s">
        <v>38</v>
      </c>
      <c r="J13" s="27" t="s">
        <v>62</v>
      </c>
      <c r="K13" s="31" t="s">
        <v>63</v>
      </c>
      <c r="L13" s="35">
        <v>43410</v>
      </c>
      <c r="M13" s="35">
        <v>43411</v>
      </c>
      <c r="N13" s="31">
        <v>677.16</v>
      </c>
      <c r="O13" s="31">
        <v>642.42999999999995</v>
      </c>
      <c r="P13" s="31">
        <f t="shared" si="0"/>
        <v>642.42999999999995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1"/>
        <v>240</v>
      </c>
      <c r="V13" s="31">
        <f t="shared" si="2"/>
        <v>882.43</v>
      </c>
      <c r="W13" s="31">
        <f t="shared" si="3"/>
        <v>882.43</v>
      </c>
      <c r="X13" s="33"/>
    </row>
    <row r="14" spans="1:24" ht="25.5">
      <c r="A14" s="34" t="s">
        <v>253</v>
      </c>
      <c r="B14" s="34" t="s">
        <v>212</v>
      </c>
      <c r="C14" s="27" t="s">
        <v>41</v>
      </c>
      <c r="D14" s="29" t="s">
        <v>171</v>
      </c>
      <c r="E14" s="20" t="s">
        <v>42</v>
      </c>
      <c r="F14" s="34" t="s">
        <v>365</v>
      </c>
      <c r="G14" s="30" t="s">
        <v>36</v>
      </c>
      <c r="H14" s="27" t="s">
        <v>37</v>
      </c>
      <c r="I14" s="27" t="s">
        <v>38</v>
      </c>
      <c r="J14" s="27" t="s">
        <v>116</v>
      </c>
      <c r="K14" s="31" t="s">
        <v>117</v>
      </c>
      <c r="L14" s="35">
        <v>43409</v>
      </c>
      <c r="M14" s="35">
        <v>43412</v>
      </c>
      <c r="N14" s="31">
        <f>996.9/2</f>
        <v>498.45</v>
      </c>
      <c r="O14" s="31">
        <f>996.9/2</f>
        <v>498.45</v>
      </c>
      <c r="P14" s="31">
        <f t="shared" si="0"/>
        <v>498.45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978.45</v>
      </c>
      <c r="W14" s="31">
        <f t="shared" si="3"/>
        <v>978.45</v>
      </c>
      <c r="X14" s="33"/>
    </row>
    <row r="15" spans="1:24" ht="38.25">
      <c r="A15" s="34" t="s">
        <v>231</v>
      </c>
      <c r="B15" s="34" t="s">
        <v>366</v>
      </c>
      <c r="C15" s="27" t="s">
        <v>367</v>
      </c>
      <c r="D15" s="29" t="s">
        <v>368</v>
      </c>
      <c r="E15" s="20" t="s">
        <v>369</v>
      </c>
      <c r="F15" s="34" t="s">
        <v>370</v>
      </c>
      <c r="G15" s="30" t="s">
        <v>36</v>
      </c>
      <c r="H15" s="27" t="s">
        <v>37</v>
      </c>
      <c r="I15" s="27" t="s">
        <v>38</v>
      </c>
      <c r="J15" s="27" t="s">
        <v>62</v>
      </c>
      <c r="K15" s="31" t="s">
        <v>63</v>
      </c>
      <c r="L15" s="35">
        <v>43430</v>
      </c>
      <c r="M15" s="35">
        <v>43432</v>
      </c>
      <c r="N15" s="31">
        <f>1384.51/2</f>
        <v>692.255</v>
      </c>
      <c r="O15" s="31">
        <f>1384.51/2</f>
        <v>692.255</v>
      </c>
      <c r="P15" s="31">
        <f t="shared" si="0"/>
        <v>692.255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1052.2550000000001</v>
      </c>
      <c r="W15" s="31">
        <f t="shared" si="3"/>
        <v>1052.2550000000001</v>
      </c>
      <c r="X15" s="33"/>
    </row>
    <row r="16" spans="1:24" ht="38.25">
      <c r="A16" s="34" t="s">
        <v>371</v>
      </c>
      <c r="B16" s="34" t="s">
        <v>226</v>
      </c>
      <c r="C16" s="27" t="s">
        <v>46</v>
      </c>
      <c r="D16" s="29" t="s">
        <v>69</v>
      </c>
      <c r="E16" s="20" t="s">
        <v>47</v>
      </c>
      <c r="F16" s="34" t="s">
        <v>372</v>
      </c>
      <c r="G16" s="30" t="s">
        <v>36</v>
      </c>
      <c r="H16" s="27" t="s">
        <v>37</v>
      </c>
      <c r="I16" s="27" t="s">
        <v>38</v>
      </c>
      <c r="J16" s="27" t="s">
        <v>373</v>
      </c>
      <c r="K16" s="31" t="s">
        <v>374</v>
      </c>
      <c r="L16" s="35">
        <v>43425</v>
      </c>
      <c r="M16" s="35">
        <v>43427</v>
      </c>
      <c r="N16" s="31">
        <f>738.28/2</f>
        <v>369.14</v>
      </c>
      <c r="O16" s="31">
        <f>738.28/2</f>
        <v>369.14</v>
      </c>
      <c r="P16" s="31">
        <f t="shared" si="0"/>
        <v>369.14</v>
      </c>
      <c r="Q16" s="27">
        <v>6</v>
      </c>
      <c r="R16" s="31">
        <v>120</v>
      </c>
      <c r="S16" s="27">
        <v>0</v>
      </c>
      <c r="T16" s="31">
        <v>0</v>
      </c>
      <c r="U16" s="32">
        <f t="shared" si="1"/>
        <v>720</v>
      </c>
      <c r="V16" s="31">
        <f t="shared" si="2"/>
        <v>1089.1399999999999</v>
      </c>
      <c r="W16" s="31">
        <f t="shared" si="3"/>
        <v>1089.1399999999999</v>
      </c>
      <c r="X16" s="33"/>
    </row>
    <row r="17" spans="1:24" ht="38.25">
      <c r="A17" s="34" t="s">
        <v>253</v>
      </c>
      <c r="B17" s="34" t="s">
        <v>288</v>
      </c>
      <c r="C17" s="27" t="s">
        <v>375</v>
      </c>
      <c r="D17" s="29" t="s">
        <v>376</v>
      </c>
      <c r="E17" s="20" t="s">
        <v>98</v>
      </c>
      <c r="F17" s="34" t="s">
        <v>377</v>
      </c>
      <c r="G17" s="30" t="s">
        <v>36</v>
      </c>
      <c r="H17" s="27" t="s">
        <v>37</v>
      </c>
      <c r="I17" s="27" t="s">
        <v>38</v>
      </c>
      <c r="J17" s="27" t="s">
        <v>39</v>
      </c>
      <c r="K17" s="31" t="s">
        <v>40</v>
      </c>
      <c r="L17" s="35">
        <v>43429</v>
      </c>
      <c r="M17" s="35">
        <v>43434</v>
      </c>
      <c r="N17" s="31">
        <f>1939.45/2</f>
        <v>969.72500000000002</v>
      </c>
      <c r="O17" s="31">
        <f>1939.45/2</f>
        <v>969.72500000000002</v>
      </c>
      <c r="P17" s="31">
        <f t="shared" si="0"/>
        <v>969.72500000000002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1689.7249999999999</v>
      </c>
      <c r="W17" s="31">
        <f t="shared" si="3"/>
        <v>1689.7249999999999</v>
      </c>
      <c r="X17" s="33"/>
    </row>
    <row r="18" spans="1:24" ht="25.5" customHeight="1">
      <c r="A18" s="34" t="s">
        <v>253</v>
      </c>
      <c r="B18" s="34" t="s">
        <v>288</v>
      </c>
      <c r="C18" s="27" t="s">
        <v>378</v>
      </c>
      <c r="D18" s="29" t="s">
        <v>379</v>
      </c>
      <c r="E18" s="20" t="s">
        <v>380</v>
      </c>
      <c r="F18" s="34" t="s">
        <v>377</v>
      </c>
      <c r="G18" s="30" t="s">
        <v>36</v>
      </c>
      <c r="H18" s="27" t="s">
        <v>37</v>
      </c>
      <c r="I18" s="27" t="s">
        <v>38</v>
      </c>
      <c r="J18" s="27" t="s">
        <v>39</v>
      </c>
      <c r="K18" s="31" t="s">
        <v>40</v>
      </c>
      <c r="L18" s="35">
        <v>43429</v>
      </c>
      <c r="M18" s="35">
        <v>43434</v>
      </c>
      <c r="N18" s="31">
        <f>2629.7/2</f>
        <v>1314.85</v>
      </c>
      <c r="O18" s="31">
        <f>2629.7/2</f>
        <v>1314.85</v>
      </c>
      <c r="P18" s="31">
        <f t="shared" si="0"/>
        <v>1314.85</v>
      </c>
      <c r="Q18" s="27">
        <v>6</v>
      </c>
      <c r="R18" s="31">
        <v>120</v>
      </c>
      <c r="S18" s="27">
        <v>0</v>
      </c>
      <c r="T18" s="31">
        <v>0</v>
      </c>
      <c r="U18" s="32">
        <f t="shared" si="1"/>
        <v>720</v>
      </c>
      <c r="V18" s="31">
        <f t="shared" si="2"/>
        <v>2034.85</v>
      </c>
      <c r="W18" s="31">
        <f t="shared" si="3"/>
        <v>2034.85</v>
      </c>
      <c r="X18" s="33"/>
    </row>
    <row r="19" spans="1:24" ht="38.25">
      <c r="A19" s="34" t="s">
        <v>371</v>
      </c>
      <c r="B19" s="34" t="s">
        <v>371</v>
      </c>
      <c r="C19" s="27" t="s">
        <v>79</v>
      </c>
      <c r="D19" s="29" t="s">
        <v>77</v>
      </c>
      <c r="E19" s="20" t="s">
        <v>80</v>
      </c>
      <c r="F19" s="34" t="s">
        <v>381</v>
      </c>
      <c r="G19" s="30" t="s">
        <v>36</v>
      </c>
      <c r="H19" s="27" t="s">
        <v>37</v>
      </c>
      <c r="I19" s="27" t="s">
        <v>38</v>
      </c>
      <c r="J19" s="27" t="s">
        <v>39</v>
      </c>
      <c r="K19" s="31" t="s">
        <v>40</v>
      </c>
      <c r="L19" s="35">
        <v>43425</v>
      </c>
      <c r="M19" s="35">
        <v>43427</v>
      </c>
      <c r="N19" s="31">
        <f>2635/2</f>
        <v>1317.5</v>
      </c>
      <c r="O19" s="31">
        <f>2635/2</f>
        <v>1317.5</v>
      </c>
      <c r="P19" s="31">
        <f t="shared" si="0"/>
        <v>1317.5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1317.5</v>
      </c>
      <c r="W19" s="31">
        <f t="shared" si="3"/>
        <v>1317.5</v>
      </c>
      <c r="X19" s="33"/>
    </row>
    <row r="20" spans="1:24" ht="25.5">
      <c r="A20" s="34" t="s">
        <v>231</v>
      </c>
      <c r="B20" s="34" t="s">
        <v>231</v>
      </c>
      <c r="C20" s="40" t="s">
        <v>86</v>
      </c>
      <c r="D20" s="51" t="s">
        <v>77</v>
      </c>
      <c r="E20" s="20" t="s">
        <v>87</v>
      </c>
      <c r="F20" s="34" t="s">
        <v>381</v>
      </c>
      <c r="G20" s="30" t="s">
        <v>36</v>
      </c>
      <c r="H20" s="40" t="s">
        <v>37</v>
      </c>
      <c r="I20" s="40" t="s">
        <v>38</v>
      </c>
      <c r="J20" s="40" t="s">
        <v>39</v>
      </c>
      <c r="K20" s="39" t="s">
        <v>40</v>
      </c>
      <c r="L20" s="52">
        <v>43425</v>
      </c>
      <c r="M20" s="52">
        <v>43426</v>
      </c>
      <c r="N20" s="39">
        <v>894.66</v>
      </c>
      <c r="O20" s="39">
        <v>690.35</v>
      </c>
      <c r="P20" s="39">
        <f t="shared" si="0"/>
        <v>690.35</v>
      </c>
      <c r="Q20" s="40">
        <v>0</v>
      </c>
      <c r="R20" s="39">
        <v>0</v>
      </c>
      <c r="S20" s="40">
        <v>0</v>
      </c>
      <c r="T20" s="39">
        <v>0</v>
      </c>
      <c r="U20" s="41">
        <f t="shared" si="1"/>
        <v>0</v>
      </c>
      <c r="V20" s="39">
        <f t="shared" si="2"/>
        <v>690.35</v>
      </c>
      <c r="W20" s="39">
        <f t="shared" si="3"/>
        <v>690.35</v>
      </c>
      <c r="X20" s="42"/>
    </row>
    <row r="21" spans="1:24" ht="14.25">
      <c r="A21" s="124" t="s">
        <v>371</v>
      </c>
      <c r="B21" s="124" t="s">
        <v>371</v>
      </c>
      <c r="C21" s="105" t="s">
        <v>79</v>
      </c>
      <c r="D21" s="134" t="s">
        <v>77</v>
      </c>
      <c r="E21" s="135" t="s">
        <v>80</v>
      </c>
      <c r="F21" s="136" t="s">
        <v>382</v>
      </c>
      <c r="G21" s="137" t="s">
        <v>36</v>
      </c>
      <c r="H21" s="47" t="s">
        <v>37</v>
      </c>
      <c r="I21" s="47" t="s">
        <v>38</v>
      </c>
      <c r="J21" s="47" t="s">
        <v>39</v>
      </c>
      <c r="K21" s="45" t="s">
        <v>40</v>
      </c>
      <c r="L21" s="123">
        <v>43433</v>
      </c>
      <c r="M21" s="123">
        <v>43434</v>
      </c>
      <c r="N21" s="132">
        <f>1395.23/2</f>
        <v>697.61500000000001</v>
      </c>
      <c r="O21" s="130">
        <f>1395.23/2</f>
        <v>697.61500000000001</v>
      </c>
      <c r="P21" s="126">
        <f t="shared" si="0"/>
        <v>697.61500000000001</v>
      </c>
      <c r="Q21" s="105">
        <v>0</v>
      </c>
      <c r="R21" s="126">
        <v>0</v>
      </c>
      <c r="S21" s="105">
        <v>0</v>
      </c>
      <c r="T21" s="126">
        <v>0</v>
      </c>
      <c r="U21" s="127">
        <f t="shared" si="1"/>
        <v>0</v>
      </c>
      <c r="V21" s="117">
        <f t="shared" si="2"/>
        <v>697.61500000000001</v>
      </c>
      <c r="W21" s="130">
        <f t="shared" si="3"/>
        <v>697.61500000000001</v>
      </c>
      <c r="X21" s="123"/>
    </row>
    <row r="22" spans="1:24" ht="26.25" customHeight="1">
      <c r="A22" s="125"/>
      <c r="B22" s="125"/>
      <c r="C22" s="105"/>
      <c r="D22" s="134"/>
      <c r="E22" s="135"/>
      <c r="F22" s="136"/>
      <c r="G22" s="137"/>
      <c r="H22" s="47" t="s">
        <v>39</v>
      </c>
      <c r="I22" s="45" t="s">
        <v>40</v>
      </c>
      <c r="J22" s="47" t="s">
        <v>116</v>
      </c>
      <c r="K22" s="45" t="s">
        <v>117</v>
      </c>
      <c r="L22" s="123"/>
      <c r="M22" s="123"/>
      <c r="N22" s="133"/>
      <c r="O22" s="131"/>
      <c r="P22" s="126">
        <f t="shared" si="0"/>
        <v>0</v>
      </c>
      <c r="Q22" s="105"/>
      <c r="R22" s="126"/>
      <c r="S22" s="105"/>
      <c r="T22" s="126"/>
      <c r="U22" s="128"/>
      <c r="V22" s="129"/>
      <c r="W22" s="131"/>
      <c r="X22" s="123"/>
    </row>
    <row r="23" spans="1:24" ht="25.5">
      <c r="A23" s="34" t="s">
        <v>253</v>
      </c>
      <c r="B23" s="34" t="s">
        <v>253</v>
      </c>
      <c r="C23" s="27" t="s">
        <v>223</v>
      </c>
      <c r="D23" s="29" t="s">
        <v>77</v>
      </c>
      <c r="E23" s="20" t="s">
        <v>50</v>
      </c>
      <c r="F23" s="34" t="s">
        <v>382</v>
      </c>
      <c r="G23" s="30" t="s">
        <v>36</v>
      </c>
      <c r="H23" s="27" t="s">
        <v>37</v>
      </c>
      <c r="I23" s="27" t="s">
        <v>38</v>
      </c>
      <c r="J23" s="27" t="s">
        <v>39</v>
      </c>
      <c r="K23" s="31" t="s">
        <v>40</v>
      </c>
      <c r="L23" s="35">
        <v>43433</v>
      </c>
      <c r="M23" s="35">
        <v>43434</v>
      </c>
      <c r="N23" s="31">
        <f>502.44/2</f>
        <v>251.22</v>
      </c>
      <c r="O23" s="31">
        <f>502.44/2</f>
        <v>251.22</v>
      </c>
      <c r="P23" s="31">
        <f t="shared" si="0"/>
        <v>251.22</v>
      </c>
      <c r="Q23" s="27">
        <v>0</v>
      </c>
      <c r="R23" s="31">
        <v>0</v>
      </c>
      <c r="S23" s="27">
        <v>0</v>
      </c>
      <c r="T23" s="31">
        <v>0</v>
      </c>
      <c r="U23" s="32">
        <f t="shared" si="1"/>
        <v>0</v>
      </c>
      <c r="V23" s="31">
        <f t="shared" si="2"/>
        <v>251.22</v>
      </c>
      <c r="W23" s="31">
        <f t="shared" si="3"/>
        <v>251.22</v>
      </c>
      <c r="X23" s="33"/>
    </row>
    <row r="24" spans="1:24" ht="38.25">
      <c r="A24" s="34" t="s">
        <v>253</v>
      </c>
      <c r="B24" s="34" t="s">
        <v>259</v>
      </c>
      <c r="C24" s="27" t="s">
        <v>383</v>
      </c>
      <c r="D24" s="29" t="s">
        <v>384</v>
      </c>
      <c r="E24" s="20" t="s">
        <v>385</v>
      </c>
      <c r="F24" s="34" t="s">
        <v>381</v>
      </c>
      <c r="G24" s="30" t="s">
        <v>36</v>
      </c>
      <c r="H24" s="27" t="s">
        <v>37</v>
      </c>
      <c r="I24" s="27" t="s">
        <v>38</v>
      </c>
      <c r="J24" s="27" t="s">
        <v>39</v>
      </c>
      <c r="K24" s="31" t="s">
        <v>40</v>
      </c>
      <c r="L24" s="35">
        <v>43425</v>
      </c>
      <c r="M24" s="35">
        <v>43427</v>
      </c>
      <c r="N24" s="31">
        <f>1995.19/2</f>
        <v>997.59500000000003</v>
      </c>
      <c r="O24" s="31">
        <f>1995.19/2</f>
        <v>997.59500000000003</v>
      </c>
      <c r="P24" s="31">
        <f t="shared" si="0"/>
        <v>997.59500000000003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1357.595</v>
      </c>
      <c r="W24" s="31">
        <f t="shared" si="3"/>
        <v>1357.595</v>
      </c>
      <c r="X24" s="33"/>
    </row>
    <row r="25" spans="1:24" ht="25.5">
      <c r="A25" s="34" t="s">
        <v>253</v>
      </c>
      <c r="B25" s="34" t="s">
        <v>253</v>
      </c>
      <c r="C25" s="47" t="s">
        <v>320</v>
      </c>
      <c r="D25" s="56" t="s">
        <v>321</v>
      </c>
      <c r="E25" s="20" t="s">
        <v>343</v>
      </c>
      <c r="F25" s="53" t="s">
        <v>386</v>
      </c>
      <c r="G25" s="55" t="s">
        <v>36</v>
      </c>
      <c r="H25" s="47" t="s">
        <v>37</v>
      </c>
      <c r="I25" s="47" t="s">
        <v>38</v>
      </c>
      <c r="J25" s="27" t="s">
        <v>39</v>
      </c>
      <c r="K25" s="31" t="s">
        <v>40</v>
      </c>
      <c r="L25" s="54">
        <v>43433</v>
      </c>
      <c r="M25" s="54">
        <v>43437</v>
      </c>
      <c r="N25" s="57">
        <f>1239.42/2</f>
        <v>619.71</v>
      </c>
      <c r="O25" s="57">
        <f>1239.42/2</f>
        <v>619.71</v>
      </c>
      <c r="P25" s="59">
        <f t="shared" si="0"/>
        <v>619.71</v>
      </c>
      <c r="Q25" s="47">
        <v>2</v>
      </c>
      <c r="R25" s="59">
        <v>120</v>
      </c>
      <c r="S25" s="47">
        <v>0</v>
      </c>
      <c r="T25" s="59">
        <v>0</v>
      </c>
      <c r="U25" s="60">
        <f t="shared" si="1"/>
        <v>240</v>
      </c>
      <c r="V25" s="39">
        <f t="shared" si="2"/>
        <v>859.71</v>
      </c>
      <c r="W25" s="58">
        <f t="shared" si="3"/>
        <v>859.71</v>
      </c>
      <c r="X25" s="54"/>
    </row>
    <row r="26" spans="1:24" ht="25.5">
      <c r="A26" s="34" t="s">
        <v>253</v>
      </c>
      <c r="B26" s="34" t="s">
        <v>212</v>
      </c>
      <c r="C26" s="27" t="s">
        <v>387</v>
      </c>
      <c r="D26" s="29" t="s">
        <v>388</v>
      </c>
      <c r="E26" s="20" t="s">
        <v>34</v>
      </c>
      <c r="F26" s="53" t="s">
        <v>386</v>
      </c>
      <c r="G26" s="30" t="s">
        <v>36</v>
      </c>
      <c r="H26" s="27" t="s">
        <v>37</v>
      </c>
      <c r="I26" s="27" t="s">
        <v>38</v>
      </c>
      <c r="J26" s="27" t="s">
        <v>39</v>
      </c>
      <c r="K26" s="31" t="s">
        <v>40</v>
      </c>
      <c r="L26" s="35">
        <v>43433</v>
      </c>
      <c r="M26" s="35">
        <v>43437</v>
      </c>
      <c r="N26" s="31">
        <f>1239.42/2</f>
        <v>619.71</v>
      </c>
      <c r="O26" s="31">
        <f>1239.42/2</f>
        <v>619.71</v>
      </c>
      <c r="P26" s="31">
        <f t="shared" si="0"/>
        <v>619.71</v>
      </c>
      <c r="Q26" s="27">
        <v>2</v>
      </c>
      <c r="R26" s="31">
        <v>120</v>
      </c>
      <c r="S26" s="27">
        <v>0</v>
      </c>
      <c r="T26" s="31">
        <v>0</v>
      </c>
      <c r="U26" s="32">
        <f t="shared" si="1"/>
        <v>240</v>
      </c>
      <c r="V26" s="31">
        <f t="shared" si="2"/>
        <v>859.71</v>
      </c>
      <c r="W26" s="31">
        <f t="shared" si="3"/>
        <v>859.71</v>
      </c>
      <c r="X26" s="33"/>
    </row>
  </sheetData>
  <mergeCells count="4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B8:B9"/>
    <mergeCell ref="C8:C9"/>
    <mergeCell ref="D8:D9"/>
    <mergeCell ref="E8:E9"/>
    <mergeCell ref="F8:F9"/>
    <mergeCell ref="J8:K8"/>
    <mergeCell ref="L8:L9"/>
    <mergeCell ref="M8:M9"/>
    <mergeCell ref="N8:N9"/>
    <mergeCell ref="O8:O9"/>
    <mergeCell ref="D21:D22"/>
    <mergeCell ref="E21:E22"/>
    <mergeCell ref="F21:F22"/>
    <mergeCell ref="G21:G22"/>
    <mergeCell ref="H8:I8"/>
    <mergeCell ref="G8:G9"/>
    <mergeCell ref="P8:P9"/>
    <mergeCell ref="Q8:R8"/>
    <mergeCell ref="S8:T8"/>
    <mergeCell ref="U8:U9"/>
    <mergeCell ref="V8:V9"/>
    <mergeCell ref="X21:X22"/>
    <mergeCell ref="A21:A22"/>
    <mergeCell ref="B21:B22"/>
    <mergeCell ref="R21:R22"/>
    <mergeCell ref="S21:S22"/>
    <mergeCell ref="T21:T22"/>
    <mergeCell ref="U21:U22"/>
    <mergeCell ref="V21:V22"/>
    <mergeCell ref="W21:W22"/>
    <mergeCell ref="L21:L22"/>
    <mergeCell ref="M21:M22"/>
    <mergeCell ref="N21:N22"/>
    <mergeCell ref="O21:O22"/>
    <mergeCell ref="P21:P22"/>
    <mergeCell ref="Q21:Q22"/>
    <mergeCell ref="C21:C22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X15"/>
  <sheetViews>
    <sheetView topLeftCell="A5" workbookViewId="0">
      <selection activeCell="D10" sqref="D10:E10"/>
    </sheetView>
  </sheetViews>
  <sheetFormatPr defaultRowHeight="15" customHeight="1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62" t="s">
        <v>0</v>
      </c>
      <c r="W5" s="162"/>
      <c r="X5" s="8">
        <v>43435</v>
      </c>
    </row>
    <row r="6" spans="1:24">
      <c r="A6" s="96" t="s">
        <v>1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</row>
    <row r="7" spans="1:24">
      <c r="A7" s="96" t="s">
        <v>2</v>
      </c>
      <c r="B7" s="96"/>
      <c r="C7" s="96" t="s">
        <v>3</v>
      </c>
      <c r="D7" s="96"/>
      <c r="E7" s="96"/>
      <c r="F7" s="96" t="s">
        <v>4</v>
      </c>
      <c r="G7" s="96"/>
      <c r="H7" s="96"/>
      <c r="I7" s="96"/>
      <c r="J7" s="96"/>
      <c r="K7" s="96"/>
      <c r="L7" s="96"/>
      <c r="M7" s="96"/>
      <c r="N7" s="96" t="s">
        <v>5</v>
      </c>
      <c r="O7" s="96"/>
      <c r="P7" s="96"/>
      <c r="Q7" s="96" t="s">
        <v>6</v>
      </c>
      <c r="R7" s="96"/>
      <c r="S7" s="96"/>
      <c r="T7" s="96"/>
      <c r="U7" s="96"/>
      <c r="V7" s="96"/>
      <c r="W7" s="96" t="s">
        <v>7</v>
      </c>
      <c r="X7" s="96" t="s">
        <v>8</v>
      </c>
    </row>
    <row r="8" spans="1:24" s="9" customFormat="1">
      <c r="A8" s="97" t="s">
        <v>9</v>
      </c>
      <c r="B8" s="97" t="s">
        <v>10</v>
      </c>
      <c r="C8" s="97" t="s">
        <v>11</v>
      </c>
      <c r="D8" s="97" t="s">
        <v>12</v>
      </c>
      <c r="E8" s="97" t="s">
        <v>13</v>
      </c>
      <c r="F8" s="97" t="s">
        <v>14</v>
      </c>
      <c r="G8" s="97" t="s">
        <v>15</v>
      </c>
      <c r="H8" s="97" t="s">
        <v>16</v>
      </c>
      <c r="I8" s="97"/>
      <c r="J8" s="98" t="s">
        <v>17</v>
      </c>
      <c r="K8" s="98"/>
      <c r="L8" s="97" t="s">
        <v>18</v>
      </c>
      <c r="M8" s="97" t="s">
        <v>19</v>
      </c>
      <c r="N8" s="98" t="s">
        <v>20</v>
      </c>
      <c r="O8" s="98" t="s">
        <v>21</v>
      </c>
      <c r="P8" s="98" t="s">
        <v>22</v>
      </c>
      <c r="Q8" s="98" t="s">
        <v>23</v>
      </c>
      <c r="R8" s="98"/>
      <c r="S8" s="98" t="s">
        <v>24</v>
      </c>
      <c r="T8" s="98"/>
      <c r="U8" s="97" t="s">
        <v>25</v>
      </c>
      <c r="V8" s="98" t="s">
        <v>22</v>
      </c>
      <c r="W8" s="96"/>
      <c r="X8" s="96"/>
    </row>
    <row r="9" spans="1:24" s="9" customFormat="1" ht="17.25" customHeight="1">
      <c r="A9" s="97"/>
      <c r="B9" s="97"/>
      <c r="C9" s="97"/>
      <c r="D9" s="97"/>
      <c r="E9" s="97"/>
      <c r="F9" s="97"/>
      <c r="G9" s="97"/>
      <c r="H9" s="10" t="s">
        <v>26</v>
      </c>
      <c r="I9" s="10" t="s">
        <v>27</v>
      </c>
      <c r="J9" s="10" t="s">
        <v>26</v>
      </c>
      <c r="K9" s="11" t="s">
        <v>28</v>
      </c>
      <c r="L9" s="97"/>
      <c r="M9" s="97"/>
      <c r="N9" s="98"/>
      <c r="O9" s="98"/>
      <c r="P9" s="98"/>
      <c r="Q9" s="10" t="s">
        <v>29</v>
      </c>
      <c r="R9" s="11" t="s">
        <v>30</v>
      </c>
      <c r="S9" s="10" t="s">
        <v>29</v>
      </c>
      <c r="T9" s="11" t="s">
        <v>30</v>
      </c>
      <c r="U9" s="97"/>
      <c r="V9" s="98"/>
      <c r="W9" s="96"/>
      <c r="X9" s="96"/>
    </row>
    <row r="10" spans="1:24" ht="25.5">
      <c r="A10" s="34" t="s">
        <v>231</v>
      </c>
      <c r="B10" s="34" t="s">
        <v>221</v>
      </c>
      <c r="C10" s="27" t="s">
        <v>54</v>
      </c>
      <c r="D10" s="29" t="s">
        <v>88</v>
      </c>
      <c r="E10" s="20" t="s">
        <v>55</v>
      </c>
      <c r="F10" s="34" t="s">
        <v>389</v>
      </c>
      <c r="G10" s="30" t="s">
        <v>36</v>
      </c>
      <c r="H10" s="27" t="s">
        <v>37</v>
      </c>
      <c r="I10" s="27" t="s">
        <v>38</v>
      </c>
      <c r="J10" s="27" t="s">
        <v>39</v>
      </c>
      <c r="K10" s="31" t="s">
        <v>40</v>
      </c>
      <c r="L10" s="35">
        <v>43438</v>
      </c>
      <c r="M10" s="35">
        <v>43439</v>
      </c>
      <c r="N10" s="31">
        <f>1430.9/2</f>
        <v>715.45</v>
      </c>
      <c r="O10" s="31">
        <f>1430.9/2</f>
        <v>715.45</v>
      </c>
      <c r="P10" s="31">
        <f>SUM(O10:O10)</f>
        <v>715.45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1195.45</v>
      </c>
      <c r="W10" s="31">
        <f>V10</f>
        <v>1195.45</v>
      </c>
      <c r="X10" s="37"/>
    </row>
    <row r="11" spans="1:24" ht="25.5">
      <c r="A11" s="34" t="s">
        <v>231</v>
      </c>
      <c r="B11" s="34" t="s">
        <v>231</v>
      </c>
      <c r="C11" s="27" t="s">
        <v>86</v>
      </c>
      <c r="D11" s="51" t="s">
        <v>77</v>
      </c>
      <c r="E11" s="20" t="s">
        <v>87</v>
      </c>
      <c r="F11" s="34" t="s">
        <v>389</v>
      </c>
      <c r="G11" s="30" t="s">
        <v>36</v>
      </c>
      <c r="H11" s="27" t="s">
        <v>37</v>
      </c>
      <c r="I11" s="27" t="s">
        <v>38</v>
      </c>
      <c r="J11" s="27" t="s">
        <v>39</v>
      </c>
      <c r="K11" s="31" t="s">
        <v>40</v>
      </c>
      <c r="L11" s="35">
        <v>43438</v>
      </c>
      <c r="M11" s="35">
        <v>43439</v>
      </c>
      <c r="N11" s="31">
        <f>1430.9/2</f>
        <v>715.45</v>
      </c>
      <c r="O11" s="31">
        <f>1430.9/2</f>
        <v>715.45</v>
      </c>
      <c r="P11" s="31">
        <f t="shared" ref="P11:P15" si="0">SUM(O11:O11)</f>
        <v>715.45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5" si="1">(Q11*R11)+(S11*T11)</f>
        <v>0</v>
      </c>
      <c r="V11" s="31">
        <f t="shared" ref="V11:V15" si="2">U11+P11</f>
        <v>715.45</v>
      </c>
      <c r="W11" s="31">
        <f t="shared" ref="W11:W15" si="3">V11</f>
        <v>715.45</v>
      </c>
      <c r="X11" s="33"/>
    </row>
    <row r="12" spans="1:24" ht="25.5" customHeight="1">
      <c r="A12" s="34" t="s">
        <v>253</v>
      </c>
      <c r="B12" s="34" t="s">
        <v>259</v>
      </c>
      <c r="C12" s="27" t="s">
        <v>192</v>
      </c>
      <c r="D12" s="29" t="s">
        <v>193</v>
      </c>
      <c r="E12" s="20" t="s">
        <v>114</v>
      </c>
      <c r="F12" s="34" t="s">
        <v>390</v>
      </c>
      <c r="G12" s="30" t="s">
        <v>36</v>
      </c>
      <c r="H12" s="27" t="s">
        <v>37</v>
      </c>
      <c r="I12" s="27" t="s">
        <v>38</v>
      </c>
      <c r="J12" s="27" t="s">
        <v>37</v>
      </c>
      <c r="K12" s="31" t="s">
        <v>391</v>
      </c>
      <c r="L12" s="35">
        <v>43445</v>
      </c>
      <c r="M12" s="35">
        <v>43448</v>
      </c>
      <c r="N12" s="31">
        <f>635.742/2</f>
        <v>317.87099999999998</v>
      </c>
      <c r="O12" s="31">
        <f>635.742/2</f>
        <v>317.87099999999998</v>
      </c>
      <c r="P12" s="31">
        <f t="shared" si="0"/>
        <v>317.87099999999998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797.87099999999998</v>
      </c>
      <c r="W12" s="31">
        <f t="shared" si="3"/>
        <v>797.87099999999998</v>
      </c>
      <c r="X12" s="33"/>
    </row>
    <row r="13" spans="1:24" ht="38.25">
      <c r="A13" s="34" t="s">
        <v>231</v>
      </c>
      <c r="B13" s="34" t="s">
        <v>231</v>
      </c>
      <c r="C13" s="27" t="s">
        <v>86</v>
      </c>
      <c r="D13" s="51" t="s">
        <v>77</v>
      </c>
      <c r="E13" s="20" t="s">
        <v>87</v>
      </c>
      <c r="F13" s="34" t="s">
        <v>392</v>
      </c>
      <c r="G13" s="30" t="s">
        <v>36</v>
      </c>
      <c r="H13" s="27" t="s">
        <v>37</v>
      </c>
      <c r="I13" s="27" t="s">
        <v>38</v>
      </c>
      <c r="J13" s="27" t="s">
        <v>62</v>
      </c>
      <c r="K13" s="31" t="s">
        <v>63</v>
      </c>
      <c r="L13" s="35">
        <v>43447</v>
      </c>
      <c r="M13" s="35">
        <v>43448</v>
      </c>
      <c r="N13" s="31">
        <f>1660.95/2</f>
        <v>830.47500000000002</v>
      </c>
      <c r="O13" s="31">
        <f>1660.95/2</f>
        <v>830.47500000000002</v>
      </c>
      <c r="P13" s="31">
        <f t="shared" si="0"/>
        <v>830.47500000000002</v>
      </c>
      <c r="Q13" s="27">
        <v>0</v>
      </c>
      <c r="R13" s="31">
        <v>0</v>
      </c>
      <c r="S13" s="27">
        <v>0</v>
      </c>
      <c r="T13" s="31">
        <v>0</v>
      </c>
      <c r="U13" s="32">
        <f t="shared" si="1"/>
        <v>0</v>
      </c>
      <c r="V13" s="31">
        <f t="shared" si="2"/>
        <v>830.47500000000002</v>
      </c>
      <c r="W13" s="31">
        <f t="shared" si="3"/>
        <v>830.47500000000002</v>
      </c>
      <c r="X13" s="33"/>
    </row>
    <row r="14" spans="1:24" ht="38.25">
      <c r="A14" s="34" t="s">
        <v>231</v>
      </c>
      <c r="B14" s="34" t="s">
        <v>221</v>
      </c>
      <c r="C14" s="27" t="s">
        <v>54</v>
      </c>
      <c r="D14" s="29" t="s">
        <v>88</v>
      </c>
      <c r="E14" s="20" t="s">
        <v>55</v>
      </c>
      <c r="F14" s="34" t="s">
        <v>392</v>
      </c>
      <c r="G14" s="30" t="s">
        <v>36</v>
      </c>
      <c r="H14" s="27" t="s">
        <v>37</v>
      </c>
      <c r="I14" s="27" t="s">
        <v>38</v>
      </c>
      <c r="J14" s="27" t="s">
        <v>62</v>
      </c>
      <c r="K14" s="31" t="s">
        <v>63</v>
      </c>
      <c r="L14" s="35">
        <v>43447</v>
      </c>
      <c r="M14" s="35">
        <v>43448</v>
      </c>
      <c r="N14" s="31">
        <f>1660.95/2</f>
        <v>830.47500000000002</v>
      </c>
      <c r="O14" s="31">
        <f>1660.95/2</f>
        <v>830.47500000000002</v>
      </c>
      <c r="P14" s="31">
        <f t="shared" si="0"/>
        <v>830.47500000000002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1310.4749999999999</v>
      </c>
      <c r="W14" s="31">
        <f t="shared" si="3"/>
        <v>1310.4749999999999</v>
      </c>
      <c r="X14" s="33"/>
    </row>
    <row r="15" spans="1:24" ht="25.5">
      <c r="A15" s="34" t="s">
        <v>253</v>
      </c>
      <c r="B15" s="34" t="s">
        <v>253</v>
      </c>
      <c r="C15" s="27" t="s">
        <v>320</v>
      </c>
      <c r="D15" s="56" t="s">
        <v>321</v>
      </c>
      <c r="E15" s="20" t="s">
        <v>343</v>
      </c>
      <c r="F15" s="34" t="s">
        <v>393</v>
      </c>
      <c r="G15" s="30" t="s">
        <v>36</v>
      </c>
      <c r="H15" s="27" t="s">
        <v>37</v>
      </c>
      <c r="I15" s="27" t="s">
        <v>38</v>
      </c>
      <c r="J15" s="27" t="s">
        <v>39</v>
      </c>
      <c r="K15" s="31" t="s">
        <v>40</v>
      </c>
      <c r="L15" s="35">
        <v>43451</v>
      </c>
      <c r="M15" s="35">
        <v>43452</v>
      </c>
      <c r="N15" s="31">
        <f>2176.7/2</f>
        <v>1088.3499999999999</v>
      </c>
      <c r="O15" s="31">
        <f>2176.7/2</f>
        <v>1088.3499999999999</v>
      </c>
      <c r="P15" s="31">
        <f t="shared" si="0"/>
        <v>1088.3499999999999</v>
      </c>
      <c r="Q15" s="27">
        <v>2</v>
      </c>
      <c r="R15" s="31">
        <v>120</v>
      </c>
      <c r="S15" s="27">
        <v>0</v>
      </c>
      <c r="T15" s="31">
        <v>0</v>
      </c>
      <c r="U15" s="32">
        <f t="shared" si="1"/>
        <v>240</v>
      </c>
      <c r="V15" s="31">
        <f t="shared" si="2"/>
        <v>1328.35</v>
      </c>
      <c r="W15" s="31">
        <f t="shared" si="3"/>
        <v>1328.35</v>
      </c>
      <c r="X15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X19"/>
  <sheetViews>
    <sheetView workbookViewId="0">
      <selection activeCell="D10" sqref="D10:E10"/>
    </sheetView>
  </sheetViews>
  <sheetFormatPr defaultRowHeight="15" customHeight="1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62" t="s">
        <v>0</v>
      </c>
      <c r="W5" s="162"/>
      <c r="X5" s="8">
        <v>43466</v>
      </c>
    </row>
    <row r="6" spans="1:24">
      <c r="A6" s="96" t="s">
        <v>1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</row>
    <row r="7" spans="1:24">
      <c r="A7" s="96" t="s">
        <v>2</v>
      </c>
      <c r="B7" s="96"/>
      <c r="C7" s="96" t="s">
        <v>3</v>
      </c>
      <c r="D7" s="96"/>
      <c r="E7" s="96"/>
      <c r="F7" s="96" t="s">
        <v>4</v>
      </c>
      <c r="G7" s="96"/>
      <c r="H7" s="96"/>
      <c r="I7" s="96"/>
      <c r="J7" s="96"/>
      <c r="K7" s="96"/>
      <c r="L7" s="96"/>
      <c r="M7" s="96"/>
      <c r="N7" s="96" t="s">
        <v>5</v>
      </c>
      <c r="O7" s="96"/>
      <c r="P7" s="96"/>
      <c r="Q7" s="96" t="s">
        <v>6</v>
      </c>
      <c r="R7" s="96"/>
      <c r="S7" s="96"/>
      <c r="T7" s="96"/>
      <c r="U7" s="96"/>
      <c r="V7" s="96"/>
      <c r="W7" s="96" t="s">
        <v>7</v>
      </c>
      <c r="X7" s="96" t="s">
        <v>8</v>
      </c>
    </row>
    <row r="8" spans="1:24" s="9" customFormat="1">
      <c r="A8" s="97" t="s">
        <v>9</v>
      </c>
      <c r="B8" s="97" t="s">
        <v>10</v>
      </c>
      <c r="C8" s="97" t="s">
        <v>11</v>
      </c>
      <c r="D8" s="97" t="s">
        <v>12</v>
      </c>
      <c r="E8" s="97" t="s">
        <v>13</v>
      </c>
      <c r="F8" s="97" t="s">
        <v>14</v>
      </c>
      <c r="G8" s="97" t="s">
        <v>15</v>
      </c>
      <c r="H8" s="97" t="s">
        <v>16</v>
      </c>
      <c r="I8" s="97"/>
      <c r="J8" s="98" t="s">
        <v>17</v>
      </c>
      <c r="K8" s="98"/>
      <c r="L8" s="97" t="s">
        <v>18</v>
      </c>
      <c r="M8" s="97" t="s">
        <v>19</v>
      </c>
      <c r="N8" s="98" t="s">
        <v>20</v>
      </c>
      <c r="O8" s="98" t="s">
        <v>21</v>
      </c>
      <c r="P8" s="98" t="s">
        <v>22</v>
      </c>
      <c r="Q8" s="98" t="s">
        <v>23</v>
      </c>
      <c r="R8" s="98"/>
      <c r="S8" s="98" t="s">
        <v>24</v>
      </c>
      <c r="T8" s="98"/>
      <c r="U8" s="97" t="s">
        <v>25</v>
      </c>
      <c r="V8" s="98" t="s">
        <v>22</v>
      </c>
      <c r="W8" s="96"/>
      <c r="X8" s="96"/>
    </row>
    <row r="9" spans="1:24" s="9" customFormat="1" ht="17.25" customHeight="1">
      <c r="A9" s="97"/>
      <c r="B9" s="97"/>
      <c r="C9" s="97"/>
      <c r="D9" s="97"/>
      <c r="E9" s="97"/>
      <c r="F9" s="97"/>
      <c r="G9" s="97"/>
      <c r="H9" s="10" t="s">
        <v>26</v>
      </c>
      <c r="I9" s="10" t="s">
        <v>27</v>
      </c>
      <c r="J9" s="10" t="s">
        <v>26</v>
      </c>
      <c r="K9" s="11" t="s">
        <v>28</v>
      </c>
      <c r="L9" s="97"/>
      <c r="M9" s="97"/>
      <c r="N9" s="98"/>
      <c r="O9" s="98"/>
      <c r="P9" s="98"/>
      <c r="Q9" s="10" t="s">
        <v>29</v>
      </c>
      <c r="R9" s="11" t="s">
        <v>30</v>
      </c>
      <c r="S9" s="10" t="s">
        <v>29</v>
      </c>
      <c r="T9" s="11" t="s">
        <v>30</v>
      </c>
      <c r="U9" s="97"/>
      <c r="V9" s="98"/>
      <c r="W9" s="96"/>
      <c r="X9" s="96"/>
    </row>
    <row r="10" spans="1:24" ht="38.25">
      <c r="A10" s="34" t="s">
        <v>371</v>
      </c>
      <c r="B10" s="34" t="s">
        <v>273</v>
      </c>
      <c r="C10" s="27" t="s">
        <v>201</v>
      </c>
      <c r="D10" s="29" t="s">
        <v>202</v>
      </c>
      <c r="E10" s="20" t="s">
        <v>348</v>
      </c>
      <c r="F10" s="34" t="s">
        <v>394</v>
      </c>
      <c r="G10" s="30" t="s">
        <v>36</v>
      </c>
      <c r="H10" s="27" t="s">
        <v>37</v>
      </c>
      <c r="I10" s="27" t="s">
        <v>38</v>
      </c>
      <c r="J10" s="27" t="s">
        <v>39</v>
      </c>
      <c r="K10" s="31" t="s">
        <v>40</v>
      </c>
      <c r="L10" s="35">
        <v>43492</v>
      </c>
      <c r="M10" s="35">
        <v>43494</v>
      </c>
      <c r="N10" s="31">
        <f>1199.9/2</f>
        <v>599.95000000000005</v>
      </c>
      <c r="O10" s="31">
        <f>1199.9/2</f>
        <v>599.95000000000005</v>
      </c>
      <c r="P10" s="31">
        <f>SUM(N10:O10)</f>
        <v>1199.9000000000001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1919.9</v>
      </c>
      <c r="W10" s="31">
        <f>V10</f>
        <v>1919.9</v>
      </c>
      <c r="X10" s="37"/>
    </row>
    <row r="11" spans="1:24" ht="38.25">
      <c r="A11" s="34" t="s">
        <v>371</v>
      </c>
      <c r="B11" s="34" t="s">
        <v>273</v>
      </c>
      <c r="C11" s="27" t="s">
        <v>195</v>
      </c>
      <c r="D11" s="29" t="s">
        <v>196</v>
      </c>
      <c r="E11" s="20" t="s">
        <v>197</v>
      </c>
      <c r="F11" s="34" t="s">
        <v>394</v>
      </c>
      <c r="G11" s="30" t="s">
        <v>36</v>
      </c>
      <c r="H11" s="27" t="s">
        <v>37</v>
      </c>
      <c r="I11" s="27" t="s">
        <v>38</v>
      </c>
      <c r="J11" s="27" t="s">
        <v>39</v>
      </c>
      <c r="K11" s="31" t="s">
        <v>40</v>
      </c>
      <c r="L11" s="35">
        <v>43492</v>
      </c>
      <c r="M11" s="35">
        <v>43494</v>
      </c>
      <c r="N11" s="31">
        <f>1199.9/2</f>
        <v>599.95000000000005</v>
      </c>
      <c r="O11" s="31">
        <f>1199.9/2</f>
        <v>599.95000000000005</v>
      </c>
      <c r="P11" s="31">
        <f t="shared" ref="P11:P19" si="0">SUM(N11:O11)</f>
        <v>1199.9000000000001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19" si="1">(Q11*R11)+(S11*T11)</f>
        <v>360</v>
      </c>
      <c r="V11" s="31">
        <f t="shared" ref="V11:V19" si="2">U11+P11</f>
        <v>1559.9</v>
      </c>
      <c r="W11" s="31">
        <f t="shared" ref="W11:W19" si="3">V11</f>
        <v>1559.9</v>
      </c>
      <c r="X11" s="33"/>
    </row>
    <row r="12" spans="1:24" ht="25.5" customHeight="1">
      <c r="A12" s="34" t="s">
        <v>253</v>
      </c>
      <c r="B12" s="34" t="s">
        <v>253</v>
      </c>
      <c r="C12" s="27" t="s">
        <v>223</v>
      </c>
      <c r="D12" s="29" t="s">
        <v>77</v>
      </c>
      <c r="E12" s="20" t="s">
        <v>50</v>
      </c>
      <c r="F12" s="34" t="s">
        <v>395</v>
      </c>
      <c r="G12" s="30" t="s">
        <v>36</v>
      </c>
      <c r="H12" s="27" t="s">
        <v>37</v>
      </c>
      <c r="I12" s="27" t="s">
        <v>38</v>
      </c>
      <c r="J12" s="27" t="s">
        <v>116</v>
      </c>
      <c r="K12" s="31" t="s">
        <v>117</v>
      </c>
      <c r="L12" s="35">
        <v>43479</v>
      </c>
      <c r="M12" s="35">
        <v>43479</v>
      </c>
      <c r="N12" s="31">
        <f>1072.59/2</f>
        <v>536.29499999999996</v>
      </c>
      <c r="O12" s="31">
        <f>1072.59/2</f>
        <v>536.29499999999996</v>
      </c>
      <c r="P12" s="31">
        <f t="shared" si="0"/>
        <v>1072.5899999999999</v>
      </c>
      <c r="Q12" s="27"/>
      <c r="R12" s="31"/>
      <c r="S12" s="27">
        <v>0</v>
      </c>
      <c r="T12" s="31">
        <v>0</v>
      </c>
      <c r="U12" s="32">
        <f t="shared" si="1"/>
        <v>0</v>
      </c>
      <c r="V12" s="31">
        <f t="shared" si="2"/>
        <v>1072.5899999999999</v>
      </c>
      <c r="W12" s="31">
        <f t="shared" si="3"/>
        <v>1072.5899999999999</v>
      </c>
      <c r="X12" s="33"/>
    </row>
    <row r="13" spans="1:24" ht="25.5">
      <c r="A13" s="34" t="s">
        <v>253</v>
      </c>
      <c r="B13" s="34" t="s">
        <v>253</v>
      </c>
      <c r="C13" s="27" t="s">
        <v>320</v>
      </c>
      <c r="D13" s="56" t="s">
        <v>321</v>
      </c>
      <c r="E13" s="20" t="s">
        <v>343</v>
      </c>
      <c r="F13" s="34" t="s">
        <v>395</v>
      </c>
      <c r="G13" s="30" t="s">
        <v>36</v>
      </c>
      <c r="H13" s="27" t="s">
        <v>37</v>
      </c>
      <c r="I13" s="27" t="s">
        <v>38</v>
      </c>
      <c r="J13" s="27" t="s">
        <v>116</v>
      </c>
      <c r="K13" s="31" t="s">
        <v>117</v>
      </c>
      <c r="L13" s="35">
        <v>43479</v>
      </c>
      <c r="M13" s="35">
        <v>43479</v>
      </c>
      <c r="N13" s="31">
        <f>1072.59/2</f>
        <v>536.29499999999996</v>
      </c>
      <c r="O13" s="31">
        <f>1072.59/2</f>
        <v>536.29499999999996</v>
      </c>
      <c r="P13" s="31">
        <f t="shared" si="0"/>
        <v>1072.5899999999999</v>
      </c>
      <c r="Q13" s="27">
        <v>1</v>
      </c>
      <c r="R13" s="31">
        <v>120</v>
      </c>
      <c r="S13" s="27">
        <v>0</v>
      </c>
      <c r="T13" s="31">
        <v>0</v>
      </c>
      <c r="U13" s="32">
        <f t="shared" si="1"/>
        <v>120</v>
      </c>
      <c r="V13" s="31">
        <f t="shared" si="2"/>
        <v>1192.5899999999999</v>
      </c>
      <c r="W13" s="31">
        <f t="shared" si="3"/>
        <v>1192.5899999999999</v>
      </c>
      <c r="X13" s="33"/>
    </row>
    <row r="14" spans="1:24" ht="38.25">
      <c r="A14" s="34" t="s">
        <v>371</v>
      </c>
      <c r="B14" s="34" t="s">
        <v>396</v>
      </c>
      <c r="C14" s="27" t="s">
        <v>152</v>
      </c>
      <c r="D14" s="29" t="s">
        <v>153</v>
      </c>
      <c r="E14" s="20" t="s">
        <v>397</v>
      </c>
      <c r="F14" s="34" t="s">
        <v>398</v>
      </c>
      <c r="G14" s="30" t="s">
        <v>36</v>
      </c>
      <c r="H14" s="27" t="s">
        <v>37</v>
      </c>
      <c r="I14" s="27" t="s">
        <v>38</v>
      </c>
      <c r="J14" s="27" t="s">
        <v>104</v>
      </c>
      <c r="K14" s="31" t="s">
        <v>105</v>
      </c>
      <c r="L14" s="35">
        <v>43480</v>
      </c>
      <c r="M14" s="35">
        <v>43482</v>
      </c>
      <c r="N14" s="31">
        <f>1819.92/2</f>
        <v>909.96</v>
      </c>
      <c r="O14" s="31">
        <f>1819.92/2</f>
        <v>909.96</v>
      </c>
      <c r="P14" s="31">
        <f t="shared" si="0"/>
        <v>1819.92</v>
      </c>
      <c r="Q14" s="27">
        <v>3</v>
      </c>
      <c r="R14" s="31">
        <v>120</v>
      </c>
      <c r="S14" s="27">
        <v>0</v>
      </c>
      <c r="T14" s="31">
        <v>0</v>
      </c>
      <c r="U14" s="32">
        <f t="shared" si="1"/>
        <v>360</v>
      </c>
      <c r="V14" s="31">
        <f t="shared" si="2"/>
        <v>2179.92</v>
      </c>
      <c r="W14" s="31">
        <f t="shared" si="3"/>
        <v>2179.92</v>
      </c>
      <c r="X14" s="33"/>
    </row>
    <row r="15" spans="1:24" ht="38.25">
      <c r="A15" s="34" t="s">
        <v>371</v>
      </c>
      <c r="B15" s="34" t="s">
        <v>396</v>
      </c>
      <c r="C15" s="27" t="s">
        <v>267</v>
      </c>
      <c r="D15" s="29" t="s">
        <v>145</v>
      </c>
      <c r="E15" s="20" t="s">
        <v>399</v>
      </c>
      <c r="F15" s="34" t="s">
        <v>398</v>
      </c>
      <c r="G15" s="30" t="s">
        <v>36</v>
      </c>
      <c r="H15" s="27" t="s">
        <v>37</v>
      </c>
      <c r="I15" s="27" t="s">
        <v>38</v>
      </c>
      <c r="J15" s="27" t="s">
        <v>104</v>
      </c>
      <c r="K15" s="31" t="s">
        <v>105</v>
      </c>
      <c r="L15" s="35">
        <v>43480</v>
      </c>
      <c r="M15" s="35">
        <v>43482</v>
      </c>
      <c r="N15" s="31">
        <f t="shared" ref="N15:O18" si="4">1819.92/2</f>
        <v>909.96</v>
      </c>
      <c r="O15" s="31">
        <f t="shared" si="4"/>
        <v>909.96</v>
      </c>
      <c r="P15" s="31">
        <f t="shared" si="0"/>
        <v>1819.92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2179.92</v>
      </c>
      <c r="W15" s="31">
        <f t="shared" si="3"/>
        <v>2179.92</v>
      </c>
      <c r="X15" s="33"/>
    </row>
    <row r="16" spans="1:24" ht="25.5">
      <c r="A16" s="34" t="s">
        <v>231</v>
      </c>
      <c r="B16" s="34" t="s">
        <v>400</v>
      </c>
      <c r="C16" s="27" t="s">
        <v>401</v>
      </c>
      <c r="D16" s="29" t="s">
        <v>402</v>
      </c>
      <c r="E16" s="20" t="s">
        <v>403</v>
      </c>
      <c r="F16" s="34" t="s">
        <v>398</v>
      </c>
      <c r="G16" s="30" t="s">
        <v>36</v>
      </c>
      <c r="H16" s="27" t="s">
        <v>37</v>
      </c>
      <c r="I16" s="27" t="s">
        <v>38</v>
      </c>
      <c r="J16" s="27" t="s">
        <v>104</v>
      </c>
      <c r="K16" s="31" t="s">
        <v>105</v>
      </c>
      <c r="L16" s="35">
        <v>43480</v>
      </c>
      <c r="M16" s="35">
        <v>43482</v>
      </c>
      <c r="N16" s="31">
        <f t="shared" si="4"/>
        <v>909.96</v>
      </c>
      <c r="O16" s="31">
        <f t="shared" si="4"/>
        <v>909.96</v>
      </c>
      <c r="P16" s="31">
        <f t="shared" si="0"/>
        <v>1819.92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2179.92</v>
      </c>
      <c r="W16" s="31">
        <f t="shared" si="3"/>
        <v>2179.92</v>
      </c>
      <c r="X16" s="33"/>
    </row>
    <row r="17" spans="1:24" ht="51">
      <c r="A17" s="34" t="s">
        <v>253</v>
      </c>
      <c r="B17" s="34" t="s">
        <v>212</v>
      </c>
      <c r="C17" s="27" t="s">
        <v>404</v>
      </c>
      <c r="D17" s="29" t="s">
        <v>405</v>
      </c>
      <c r="E17" s="20" t="s">
        <v>406</v>
      </c>
      <c r="F17" s="34" t="s">
        <v>398</v>
      </c>
      <c r="G17" s="30" t="s">
        <v>36</v>
      </c>
      <c r="H17" s="27" t="s">
        <v>37</v>
      </c>
      <c r="I17" s="27" t="s">
        <v>38</v>
      </c>
      <c r="J17" s="27" t="s">
        <v>104</v>
      </c>
      <c r="K17" s="31" t="s">
        <v>105</v>
      </c>
      <c r="L17" s="35">
        <v>43480</v>
      </c>
      <c r="M17" s="35">
        <v>43482</v>
      </c>
      <c r="N17" s="31">
        <f t="shared" si="4"/>
        <v>909.96</v>
      </c>
      <c r="O17" s="31">
        <f t="shared" si="4"/>
        <v>909.96</v>
      </c>
      <c r="P17" s="31">
        <f t="shared" si="0"/>
        <v>1819.92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2"/>
        <v>2179.92</v>
      </c>
      <c r="W17" s="31">
        <f t="shared" si="3"/>
        <v>2179.92</v>
      </c>
      <c r="X17" s="33"/>
    </row>
    <row r="18" spans="1:24" ht="25.5" customHeight="1">
      <c r="A18" s="34" t="s">
        <v>253</v>
      </c>
      <c r="B18" s="34" t="s">
        <v>253</v>
      </c>
      <c r="C18" s="27" t="s">
        <v>223</v>
      </c>
      <c r="D18" s="29" t="s">
        <v>77</v>
      </c>
      <c r="E18" s="20" t="s">
        <v>50</v>
      </c>
      <c r="F18" s="34" t="s">
        <v>398</v>
      </c>
      <c r="G18" s="30" t="s">
        <v>36</v>
      </c>
      <c r="H18" s="27" t="s">
        <v>37</v>
      </c>
      <c r="I18" s="27" t="s">
        <v>38</v>
      </c>
      <c r="J18" s="27" t="s">
        <v>104</v>
      </c>
      <c r="K18" s="31" t="s">
        <v>105</v>
      </c>
      <c r="L18" s="35">
        <v>43480</v>
      </c>
      <c r="M18" s="35">
        <v>43482</v>
      </c>
      <c r="N18" s="31">
        <f t="shared" si="4"/>
        <v>909.96</v>
      </c>
      <c r="O18" s="31">
        <f t="shared" si="4"/>
        <v>909.96</v>
      </c>
      <c r="P18" s="31">
        <f t="shared" si="0"/>
        <v>1819.92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1819.92</v>
      </c>
      <c r="W18" s="31">
        <f t="shared" si="3"/>
        <v>1819.92</v>
      </c>
      <c r="X18" s="33"/>
    </row>
    <row r="19" spans="1:24" ht="25.5">
      <c r="A19" s="34" t="s">
        <v>231</v>
      </c>
      <c r="B19" s="34" t="s">
        <v>231</v>
      </c>
      <c r="C19" s="49" t="s">
        <v>86</v>
      </c>
      <c r="D19" s="56" t="s">
        <v>77</v>
      </c>
      <c r="E19" s="61" t="s">
        <v>87</v>
      </c>
      <c r="F19" s="34" t="s">
        <v>407</v>
      </c>
      <c r="G19" s="30" t="s">
        <v>36</v>
      </c>
      <c r="H19" s="27" t="s">
        <v>37</v>
      </c>
      <c r="I19" s="27" t="s">
        <v>38</v>
      </c>
      <c r="J19" s="27" t="s">
        <v>39</v>
      </c>
      <c r="K19" s="31" t="s">
        <v>40</v>
      </c>
      <c r="L19" s="35">
        <v>43488</v>
      </c>
      <c r="M19" s="35">
        <v>43488</v>
      </c>
      <c r="N19" s="31">
        <f>2655.19/2</f>
        <v>1327.595</v>
      </c>
      <c r="O19" s="31">
        <f>2655.19/2</f>
        <v>1327.595</v>
      </c>
      <c r="P19" s="31">
        <f t="shared" si="0"/>
        <v>2655.19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2655.19</v>
      </c>
      <c r="W19" s="31">
        <f t="shared" si="3"/>
        <v>2655.19</v>
      </c>
      <c r="X19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X17"/>
  <sheetViews>
    <sheetView workbookViewId="0">
      <selection activeCell="D13" sqref="D13:E13"/>
    </sheetView>
  </sheetViews>
  <sheetFormatPr defaultRowHeight="15" customHeight="1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62" t="s">
        <v>0</v>
      </c>
      <c r="W5" s="162"/>
      <c r="X5" s="8">
        <v>43497</v>
      </c>
    </row>
    <row r="6" spans="1:24">
      <c r="A6" s="96" t="s">
        <v>1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</row>
    <row r="7" spans="1:24">
      <c r="A7" s="96" t="s">
        <v>2</v>
      </c>
      <c r="B7" s="96"/>
      <c r="C7" s="96" t="s">
        <v>3</v>
      </c>
      <c r="D7" s="96"/>
      <c r="E7" s="96"/>
      <c r="F7" s="96" t="s">
        <v>4</v>
      </c>
      <c r="G7" s="96"/>
      <c r="H7" s="96"/>
      <c r="I7" s="96"/>
      <c r="J7" s="96"/>
      <c r="K7" s="96"/>
      <c r="L7" s="96"/>
      <c r="M7" s="96"/>
      <c r="N7" s="96" t="s">
        <v>5</v>
      </c>
      <c r="O7" s="96"/>
      <c r="P7" s="96"/>
      <c r="Q7" s="96" t="s">
        <v>6</v>
      </c>
      <c r="R7" s="96"/>
      <c r="S7" s="96"/>
      <c r="T7" s="96"/>
      <c r="U7" s="96"/>
      <c r="V7" s="96"/>
      <c r="W7" s="96" t="s">
        <v>7</v>
      </c>
      <c r="X7" s="96" t="s">
        <v>8</v>
      </c>
    </row>
    <row r="8" spans="1:24" s="9" customFormat="1">
      <c r="A8" s="97" t="s">
        <v>9</v>
      </c>
      <c r="B8" s="97" t="s">
        <v>10</v>
      </c>
      <c r="C8" s="97" t="s">
        <v>11</v>
      </c>
      <c r="D8" s="97" t="s">
        <v>12</v>
      </c>
      <c r="E8" s="97" t="s">
        <v>13</v>
      </c>
      <c r="F8" s="97" t="s">
        <v>14</v>
      </c>
      <c r="G8" s="97" t="s">
        <v>15</v>
      </c>
      <c r="H8" s="97" t="s">
        <v>16</v>
      </c>
      <c r="I8" s="97"/>
      <c r="J8" s="98" t="s">
        <v>17</v>
      </c>
      <c r="K8" s="98"/>
      <c r="L8" s="97" t="s">
        <v>18</v>
      </c>
      <c r="M8" s="97" t="s">
        <v>19</v>
      </c>
      <c r="N8" s="98" t="s">
        <v>20</v>
      </c>
      <c r="O8" s="98" t="s">
        <v>21</v>
      </c>
      <c r="P8" s="98" t="s">
        <v>22</v>
      </c>
      <c r="Q8" s="98" t="s">
        <v>23</v>
      </c>
      <c r="R8" s="98"/>
      <c r="S8" s="98" t="s">
        <v>24</v>
      </c>
      <c r="T8" s="98"/>
      <c r="U8" s="97" t="s">
        <v>25</v>
      </c>
      <c r="V8" s="98" t="s">
        <v>22</v>
      </c>
      <c r="W8" s="96"/>
      <c r="X8" s="96"/>
    </row>
    <row r="9" spans="1:24" s="9" customFormat="1" ht="17.25" customHeight="1">
      <c r="A9" s="97"/>
      <c r="B9" s="97"/>
      <c r="C9" s="97"/>
      <c r="D9" s="97"/>
      <c r="E9" s="97"/>
      <c r="F9" s="97"/>
      <c r="G9" s="97"/>
      <c r="H9" s="10" t="s">
        <v>26</v>
      </c>
      <c r="I9" s="10" t="s">
        <v>27</v>
      </c>
      <c r="J9" s="10" t="s">
        <v>26</v>
      </c>
      <c r="K9" s="11" t="s">
        <v>28</v>
      </c>
      <c r="L9" s="97"/>
      <c r="M9" s="97"/>
      <c r="N9" s="98"/>
      <c r="O9" s="98"/>
      <c r="P9" s="98"/>
      <c r="Q9" s="10" t="s">
        <v>29</v>
      </c>
      <c r="R9" s="11" t="s">
        <v>30</v>
      </c>
      <c r="S9" s="10" t="s">
        <v>29</v>
      </c>
      <c r="T9" s="11" t="s">
        <v>30</v>
      </c>
      <c r="U9" s="97"/>
      <c r="V9" s="98"/>
      <c r="W9" s="96"/>
      <c r="X9" s="96"/>
    </row>
    <row r="10" spans="1:24" ht="25.5">
      <c r="A10" s="34" t="s">
        <v>253</v>
      </c>
      <c r="B10" s="34" t="s">
        <v>288</v>
      </c>
      <c r="C10" s="27" t="s">
        <v>378</v>
      </c>
      <c r="D10" s="29" t="s">
        <v>379</v>
      </c>
      <c r="E10" s="20" t="s">
        <v>380</v>
      </c>
      <c r="F10" s="34" t="s">
        <v>408</v>
      </c>
      <c r="G10" s="30" t="s">
        <v>36</v>
      </c>
      <c r="H10" s="27" t="s">
        <v>37</v>
      </c>
      <c r="I10" s="27" t="s">
        <v>38</v>
      </c>
      <c r="J10" s="27" t="s">
        <v>39</v>
      </c>
      <c r="K10" s="31" t="s">
        <v>40</v>
      </c>
      <c r="L10" s="35">
        <v>43507</v>
      </c>
      <c r="M10" s="35">
        <v>43508</v>
      </c>
      <c r="N10" s="31">
        <f>1902.8/2</f>
        <v>951.4</v>
      </c>
      <c r="O10" s="31">
        <f>1902.8/2</f>
        <v>951.4</v>
      </c>
      <c r="P10" s="31">
        <f>SUM(N10:O10)</f>
        <v>1902.8</v>
      </c>
      <c r="Q10" s="27"/>
      <c r="R10" s="31"/>
      <c r="S10" s="27"/>
      <c r="T10" s="31"/>
      <c r="U10" s="32">
        <f>(Q10*R10)+(S10*T10)</f>
        <v>0</v>
      </c>
      <c r="V10" s="31">
        <f>U10+P10</f>
        <v>1902.8</v>
      </c>
      <c r="W10" s="31">
        <f>V10</f>
        <v>1902.8</v>
      </c>
      <c r="X10" s="37"/>
    </row>
    <row r="11" spans="1:24" ht="25.5">
      <c r="A11" s="34" t="s">
        <v>253</v>
      </c>
      <c r="B11" s="34" t="s">
        <v>253</v>
      </c>
      <c r="C11" s="27" t="s">
        <v>223</v>
      </c>
      <c r="D11" s="29" t="s">
        <v>77</v>
      </c>
      <c r="E11" s="20" t="s">
        <v>50</v>
      </c>
      <c r="F11" s="34" t="s">
        <v>408</v>
      </c>
      <c r="G11" s="30" t="s">
        <v>36</v>
      </c>
      <c r="H11" s="27" t="s">
        <v>37</v>
      </c>
      <c r="I11" s="27" t="s">
        <v>38</v>
      </c>
      <c r="J11" s="27" t="s">
        <v>409</v>
      </c>
      <c r="K11" s="31" t="s">
        <v>410</v>
      </c>
      <c r="L11" s="35">
        <v>43502</v>
      </c>
      <c r="M11" s="35">
        <v>43503</v>
      </c>
      <c r="N11" s="31">
        <f>1705.62/2</f>
        <v>852.81</v>
      </c>
      <c r="O11" s="31">
        <f>1705.62/2</f>
        <v>852.81</v>
      </c>
      <c r="P11" s="31">
        <f t="shared" ref="P11:P17" si="0">SUM(N11:O11)</f>
        <v>1705.62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7" si="1">(Q11*R11)+(S11*T11)</f>
        <v>0</v>
      </c>
      <c r="V11" s="31">
        <f t="shared" ref="V11:V17" si="2">U11+P11</f>
        <v>1705.62</v>
      </c>
      <c r="W11" s="31">
        <f t="shared" ref="W11:W17" si="3">V11</f>
        <v>1705.62</v>
      </c>
      <c r="X11" s="33"/>
    </row>
    <row r="12" spans="1:24" ht="25.5" customHeight="1">
      <c r="A12" s="34" t="s">
        <v>253</v>
      </c>
      <c r="B12" s="34" t="s">
        <v>253</v>
      </c>
      <c r="C12" s="27" t="s">
        <v>320</v>
      </c>
      <c r="D12" s="56" t="s">
        <v>321</v>
      </c>
      <c r="E12" s="20" t="s">
        <v>343</v>
      </c>
      <c r="F12" s="34" t="s">
        <v>90</v>
      </c>
      <c r="G12" s="30" t="s">
        <v>36</v>
      </c>
      <c r="H12" s="27" t="s">
        <v>37</v>
      </c>
      <c r="I12" s="27" t="s">
        <v>38</v>
      </c>
      <c r="J12" s="27" t="s">
        <v>39</v>
      </c>
      <c r="K12" s="31" t="s">
        <v>40</v>
      </c>
      <c r="L12" s="35">
        <v>43517</v>
      </c>
      <c r="M12" s="35">
        <v>43518</v>
      </c>
      <c r="N12" s="31">
        <f>1052.49/2</f>
        <v>526.245</v>
      </c>
      <c r="O12" s="31">
        <f>1052.49/2</f>
        <v>526.245</v>
      </c>
      <c r="P12" s="31">
        <f t="shared" si="0"/>
        <v>1052.49</v>
      </c>
      <c r="Q12" s="27">
        <v>2</v>
      </c>
      <c r="R12" s="31">
        <v>120</v>
      </c>
      <c r="S12" s="27"/>
      <c r="T12" s="31"/>
      <c r="U12" s="32">
        <f t="shared" si="1"/>
        <v>240</v>
      </c>
      <c r="V12" s="31">
        <f t="shared" si="2"/>
        <v>1292.49</v>
      </c>
      <c r="W12" s="31">
        <f t="shared" si="3"/>
        <v>1292.49</v>
      </c>
      <c r="X12" s="33"/>
    </row>
    <row r="13" spans="1:24" ht="25.5">
      <c r="A13" s="34" t="s">
        <v>231</v>
      </c>
      <c r="B13" s="34" t="s">
        <v>221</v>
      </c>
      <c r="C13" s="27" t="s">
        <v>54</v>
      </c>
      <c r="D13" s="29" t="s">
        <v>88</v>
      </c>
      <c r="E13" s="20" t="s">
        <v>55</v>
      </c>
      <c r="F13" s="34" t="s">
        <v>408</v>
      </c>
      <c r="G13" s="30" t="s">
        <v>36</v>
      </c>
      <c r="H13" s="27" t="s">
        <v>37</v>
      </c>
      <c r="I13" s="27" t="s">
        <v>38</v>
      </c>
      <c r="J13" s="27" t="s">
        <v>409</v>
      </c>
      <c r="K13" s="31" t="s">
        <v>410</v>
      </c>
      <c r="L13" s="35">
        <v>43503</v>
      </c>
      <c r="M13" s="35">
        <v>43504</v>
      </c>
      <c r="N13" s="31">
        <f>2774.44/2</f>
        <v>1387.22</v>
      </c>
      <c r="O13" s="31">
        <f>2774.44/2</f>
        <v>1387.22</v>
      </c>
      <c r="P13" s="31">
        <f t="shared" si="0"/>
        <v>2774.44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3254.44</v>
      </c>
      <c r="W13" s="31">
        <f t="shared" si="3"/>
        <v>3254.44</v>
      </c>
      <c r="X13" s="33"/>
    </row>
    <row r="14" spans="1:24" ht="25.5">
      <c r="A14" s="34" t="s">
        <v>253</v>
      </c>
      <c r="B14" s="34" t="s">
        <v>253</v>
      </c>
      <c r="C14" s="27" t="s">
        <v>223</v>
      </c>
      <c r="D14" s="29" t="s">
        <v>77</v>
      </c>
      <c r="E14" s="20" t="s">
        <v>50</v>
      </c>
      <c r="F14" s="34" t="s">
        <v>90</v>
      </c>
      <c r="G14" s="30" t="s">
        <v>36</v>
      </c>
      <c r="H14" s="27" t="s">
        <v>37</v>
      </c>
      <c r="I14" s="27" t="s">
        <v>38</v>
      </c>
      <c r="J14" s="27" t="s">
        <v>39</v>
      </c>
      <c r="K14" s="31" t="s">
        <v>40</v>
      </c>
      <c r="L14" s="35">
        <v>43517</v>
      </c>
      <c r="M14" s="35">
        <v>43518</v>
      </c>
      <c r="N14" s="31">
        <f>1336.88/2</f>
        <v>668.44</v>
      </c>
      <c r="O14" s="31">
        <f>1336.88/2</f>
        <v>668.44</v>
      </c>
      <c r="P14" s="31">
        <f t="shared" si="0"/>
        <v>1336.88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1336.88</v>
      </c>
      <c r="W14" s="31">
        <f t="shared" si="3"/>
        <v>1336.88</v>
      </c>
      <c r="X14" s="33"/>
    </row>
    <row r="15" spans="1:24" ht="38.25">
      <c r="A15" s="34" t="s">
        <v>371</v>
      </c>
      <c r="B15" s="34" t="s">
        <v>371</v>
      </c>
      <c r="C15" s="27" t="s">
        <v>79</v>
      </c>
      <c r="D15" s="29" t="s">
        <v>77</v>
      </c>
      <c r="E15" s="20" t="s">
        <v>80</v>
      </c>
      <c r="F15" s="34" t="s">
        <v>90</v>
      </c>
      <c r="G15" s="30" t="s">
        <v>36</v>
      </c>
      <c r="H15" s="27" t="s">
        <v>37</v>
      </c>
      <c r="I15" s="27" t="s">
        <v>38</v>
      </c>
      <c r="J15" s="27" t="s">
        <v>39</v>
      </c>
      <c r="K15" s="31" t="s">
        <v>40</v>
      </c>
      <c r="L15" s="35">
        <v>43517</v>
      </c>
      <c r="M15" s="35">
        <v>43517</v>
      </c>
      <c r="N15" s="31">
        <f>2124.88/2</f>
        <v>1062.44</v>
      </c>
      <c r="O15" s="31">
        <f>2124.88/2</f>
        <v>1062.44</v>
      </c>
      <c r="P15" s="31">
        <f t="shared" si="0"/>
        <v>2124.88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2124.88</v>
      </c>
      <c r="W15" s="31">
        <f t="shared" si="3"/>
        <v>2124.88</v>
      </c>
      <c r="X15" s="33"/>
    </row>
    <row r="16" spans="1:24" ht="38.25">
      <c r="A16" s="34" t="s">
        <v>371</v>
      </c>
      <c r="B16" s="34" t="s">
        <v>240</v>
      </c>
      <c r="C16" s="27" t="s">
        <v>140</v>
      </c>
      <c r="D16" s="29" t="s">
        <v>141</v>
      </c>
      <c r="E16" s="20" t="s">
        <v>411</v>
      </c>
      <c r="F16" s="34" t="s">
        <v>90</v>
      </c>
      <c r="G16" s="30" t="s">
        <v>36</v>
      </c>
      <c r="H16" s="27" t="s">
        <v>37</v>
      </c>
      <c r="I16" s="27" t="s">
        <v>38</v>
      </c>
      <c r="J16" s="27" t="s">
        <v>39</v>
      </c>
      <c r="K16" s="31" t="s">
        <v>40</v>
      </c>
      <c r="L16" s="35">
        <v>43517</v>
      </c>
      <c r="M16" s="35">
        <v>43517</v>
      </c>
      <c r="N16" s="31">
        <f>2574.68/2</f>
        <v>1287.3399999999999</v>
      </c>
      <c r="O16" s="31">
        <f>2574.68/2</f>
        <v>1287.3399999999999</v>
      </c>
      <c r="P16" s="31">
        <f t="shared" si="0"/>
        <v>2574.6799999999998</v>
      </c>
      <c r="Q16" s="27">
        <v>5</v>
      </c>
      <c r="R16" s="31">
        <v>120</v>
      </c>
      <c r="S16" s="27">
        <v>0</v>
      </c>
      <c r="T16" s="31">
        <v>0</v>
      </c>
      <c r="U16" s="32">
        <f t="shared" si="1"/>
        <v>600</v>
      </c>
      <c r="V16" s="31">
        <f t="shared" si="2"/>
        <v>3174.68</v>
      </c>
      <c r="W16" s="31">
        <f t="shared" si="3"/>
        <v>3174.68</v>
      </c>
      <c r="X16" s="33"/>
    </row>
    <row r="17" spans="1:24" ht="38.25">
      <c r="A17" s="34" t="s">
        <v>371</v>
      </c>
      <c r="B17" s="34" t="s">
        <v>371</v>
      </c>
      <c r="C17" s="27" t="s">
        <v>76</v>
      </c>
      <c r="D17" s="29" t="s">
        <v>107</v>
      </c>
      <c r="E17" s="20" t="s">
        <v>78</v>
      </c>
      <c r="F17" s="34" t="s">
        <v>90</v>
      </c>
      <c r="G17" s="30" t="s">
        <v>36</v>
      </c>
      <c r="H17" s="27" t="s">
        <v>37</v>
      </c>
      <c r="I17" s="27" t="s">
        <v>38</v>
      </c>
      <c r="J17" s="27" t="s">
        <v>39</v>
      </c>
      <c r="K17" s="31" t="s">
        <v>40</v>
      </c>
      <c r="L17" s="35">
        <v>43517</v>
      </c>
      <c r="M17" s="35">
        <v>43517</v>
      </c>
      <c r="N17" s="31">
        <f>2722.98/2</f>
        <v>1361.49</v>
      </c>
      <c r="O17" s="31">
        <f>2722.98/2</f>
        <v>1361.49</v>
      </c>
      <c r="P17" s="31">
        <f t="shared" si="0"/>
        <v>2722.98</v>
      </c>
      <c r="Q17" s="27">
        <v>1</v>
      </c>
      <c r="R17" s="31">
        <v>120</v>
      </c>
      <c r="S17" s="27">
        <v>0</v>
      </c>
      <c r="T17" s="31">
        <v>0</v>
      </c>
      <c r="U17" s="32">
        <f t="shared" si="1"/>
        <v>120</v>
      </c>
      <c r="V17" s="31">
        <f t="shared" si="2"/>
        <v>2842.98</v>
      </c>
      <c r="W17" s="31">
        <f t="shared" si="3"/>
        <v>2842.98</v>
      </c>
      <c r="X17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X19"/>
  <sheetViews>
    <sheetView workbookViewId="0">
      <selection activeCell="D13" sqref="D13:E13"/>
    </sheetView>
  </sheetViews>
  <sheetFormatPr defaultRowHeight="15" customHeight="1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62" t="s">
        <v>0</v>
      </c>
      <c r="W5" s="162"/>
      <c r="X5" s="8">
        <v>43525</v>
      </c>
    </row>
    <row r="6" spans="1:24">
      <c r="A6" s="96" t="s">
        <v>1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</row>
    <row r="7" spans="1:24">
      <c r="A7" s="96" t="s">
        <v>2</v>
      </c>
      <c r="B7" s="96"/>
      <c r="C7" s="96" t="s">
        <v>3</v>
      </c>
      <c r="D7" s="96"/>
      <c r="E7" s="96"/>
      <c r="F7" s="96" t="s">
        <v>4</v>
      </c>
      <c r="G7" s="96"/>
      <c r="H7" s="96"/>
      <c r="I7" s="96"/>
      <c r="J7" s="96"/>
      <c r="K7" s="96"/>
      <c r="L7" s="96"/>
      <c r="M7" s="96"/>
      <c r="N7" s="96" t="s">
        <v>5</v>
      </c>
      <c r="O7" s="96"/>
      <c r="P7" s="96"/>
      <c r="Q7" s="96" t="s">
        <v>6</v>
      </c>
      <c r="R7" s="96"/>
      <c r="S7" s="96"/>
      <c r="T7" s="96"/>
      <c r="U7" s="96"/>
      <c r="V7" s="96"/>
      <c r="W7" s="96" t="s">
        <v>7</v>
      </c>
      <c r="X7" s="96" t="s">
        <v>8</v>
      </c>
    </row>
    <row r="8" spans="1:24" s="9" customFormat="1">
      <c r="A8" s="97" t="s">
        <v>9</v>
      </c>
      <c r="B8" s="97" t="s">
        <v>10</v>
      </c>
      <c r="C8" s="97" t="s">
        <v>11</v>
      </c>
      <c r="D8" s="97" t="s">
        <v>12</v>
      </c>
      <c r="E8" s="97" t="s">
        <v>13</v>
      </c>
      <c r="F8" s="97" t="s">
        <v>14</v>
      </c>
      <c r="G8" s="97" t="s">
        <v>15</v>
      </c>
      <c r="H8" s="97" t="s">
        <v>16</v>
      </c>
      <c r="I8" s="97"/>
      <c r="J8" s="98" t="s">
        <v>17</v>
      </c>
      <c r="K8" s="98"/>
      <c r="L8" s="97" t="s">
        <v>18</v>
      </c>
      <c r="M8" s="97" t="s">
        <v>19</v>
      </c>
      <c r="N8" s="98" t="s">
        <v>20</v>
      </c>
      <c r="O8" s="98" t="s">
        <v>21</v>
      </c>
      <c r="P8" s="98" t="s">
        <v>22</v>
      </c>
      <c r="Q8" s="98" t="s">
        <v>23</v>
      </c>
      <c r="R8" s="98"/>
      <c r="S8" s="98" t="s">
        <v>24</v>
      </c>
      <c r="T8" s="98"/>
      <c r="U8" s="97" t="s">
        <v>25</v>
      </c>
      <c r="V8" s="98" t="s">
        <v>22</v>
      </c>
      <c r="W8" s="96"/>
      <c r="X8" s="96"/>
    </row>
    <row r="9" spans="1:24" s="9" customFormat="1" ht="17.25" customHeight="1">
      <c r="A9" s="97"/>
      <c r="B9" s="97"/>
      <c r="C9" s="97"/>
      <c r="D9" s="97"/>
      <c r="E9" s="97"/>
      <c r="F9" s="97"/>
      <c r="G9" s="97"/>
      <c r="H9" s="10" t="s">
        <v>26</v>
      </c>
      <c r="I9" s="10" t="s">
        <v>27</v>
      </c>
      <c r="J9" s="10" t="s">
        <v>26</v>
      </c>
      <c r="K9" s="11" t="s">
        <v>28</v>
      </c>
      <c r="L9" s="97"/>
      <c r="M9" s="97"/>
      <c r="N9" s="98"/>
      <c r="O9" s="98"/>
      <c r="P9" s="98"/>
      <c r="Q9" s="10" t="s">
        <v>29</v>
      </c>
      <c r="R9" s="11" t="s">
        <v>30</v>
      </c>
      <c r="S9" s="10" t="s">
        <v>29</v>
      </c>
      <c r="T9" s="11" t="s">
        <v>30</v>
      </c>
      <c r="U9" s="97"/>
      <c r="V9" s="98"/>
      <c r="W9" s="96"/>
      <c r="X9" s="96"/>
    </row>
    <row r="10" spans="1:24" ht="25.5">
      <c r="A10" s="34" t="s">
        <v>231</v>
      </c>
      <c r="B10" s="34" t="s">
        <v>229</v>
      </c>
      <c r="C10" s="34" t="s">
        <v>246</v>
      </c>
      <c r="D10" s="29" t="s">
        <v>247</v>
      </c>
      <c r="E10" s="20" t="s">
        <v>341</v>
      </c>
      <c r="F10" s="34" t="s">
        <v>230</v>
      </c>
      <c r="G10" s="34" t="s">
        <v>36</v>
      </c>
      <c r="H10" s="34" t="s">
        <v>37</v>
      </c>
      <c r="I10" s="34" t="s">
        <v>38</v>
      </c>
      <c r="J10" s="34" t="s">
        <v>39</v>
      </c>
      <c r="K10" s="34" t="s">
        <v>40</v>
      </c>
      <c r="L10" s="62">
        <v>43544</v>
      </c>
      <c r="M10" s="62">
        <v>43547</v>
      </c>
      <c r="N10" s="34">
        <f>1730.68/2</f>
        <v>865.34</v>
      </c>
      <c r="O10" s="34">
        <f>1730.68/2</f>
        <v>865.34</v>
      </c>
      <c r="P10" s="34">
        <f>SUM(N10:O10)</f>
        <v>1730.68</v>
      </c>
      <c r="Q10" s="34">
        <v>5</v>
      </c>
      <c r="R10" s="34">
        <v>120</v>
      </c>
      <c r="S10" s="34">
        <v>0</v>
      </c>
      <c r="T10" s="34">
        <v>0</v>
      </c>
      <c r="U10" s="34">
        <f>(Q10*R10)+(S10*T10)</f>
        <v>600</v>
      </c>
      <c r="V10" s="34">
        <f>U10+P10</f>
        <v>2330.6800000000003</v>
      </c>
      <c r="W10" s="34">
        <f>V10</f>
        <v>2330.6800000000003</v>
      </c>
      <c r="X10" s="34"/>
    </row>
    <row r="11" spans="1:24" ht="38.25">
      <c r="A11" s="34" t="s">
        <v>371</v>
      </c>
      <c r="B11" s="34" t="s">
        <v>226</v>
      </c>
      <c r="C11" s="34" t="s">
        <v>46</v>
      </c>
      <c r="D11" s="29" t="s">
        <v>69</v>
      </c>
      <c r="E11" s="20" t="s">
        <v>47</v>
      </c>
      <c r="F11" s="34" t="s">
        <v>230</v>
      </c>
      <c r="G11" s="34" t="s">
        <v>36</v>
      </c>
      <c r="H11" s="34" t="s">
        <v>37</v>
      </c>
      <c r="I11" s="34" t="s">
        <v>38</v>
      </c>
      <c r="J11" s="34" t="s">
        <v>39</v>
      </c>
      <c r="K11" s="34" t="s">
        <v>40</v>
      </c>
      <c r="L11" s="62">
        <v>43543</v>
      </c>
      <c r="M11" s="62">
        <v>43547</v>
      </c>
      <c r="N11" s="34">
        <f>1464.48/2</f>
        <v>732.24</v>
      </c>
      <c r="O11" s="34">
        <f>1464.48/2</f>
        <v>732.24</v>
      </c>
      <c r="P11" s="34">
        <f t="shared" ref="P11:P19" si="0">SUM(N11:O11)</f>
        <v>1464.48</v>
      </c>
      <c r="Q11" s="34">
        <v>6</v>
      </c>
      <c r="R11" s="34">
        <v>120</v>
      </c>
      <c r="S11" s="34">
        <v>0</v>
      </c>
      <c r="T11" s="34">
        <v>0</v>
      </c>
      <c r="U11" s="34">
        <f t="shared" ref="U11:U19" si="1">(Q11*R11)+(S11*T11)</f>
        <v>720</v>
      </c>
      <c r="V11" s="34">
        <f t="shared" ref="V11:V19" si="2">U11+P11</f>
        <v>2184.48</v>
      </c>
      <c r="W11" s="34">
        <f t="shared" ref="W11:W19" si="3">V11</f>
        <v>2184.48</v>
      </c>
      <c r="X11" s="34"/>
    </row>
    <row r="12" spans="1:24" ht="25.5" customHeight="1">
      <c r="A12" s="34" t="s">
        <v>231</v>
      </c>
      <c r="B12" s="34" t="s">
        <v>231</v>
      </c>
      <c r="C12" s="34" t="s">
        <v>412</v>
      </c>
      <c r="D12" s="56" t="s">
        <v>77</v>
      </c>
      <c r="E12" s="61" t="s">
        <v>87</v>
      </c>
      <c r="F12" s="34" t="s">
        <v>230</v>
      </c>
      <c r="G12" s="34" t="s">
        <v>36</v>
      </c>
      <c r="H12" s="34" t="s">
        <v>37</v>
      </c>
      <c r="I12" s="34" t="s">
        <v>38</v>
      </c>
      <c r="J12" s="34" t="s">
        <v>109</v>
      </c>
      <c r="K12" s="34" t="s">
        <v>110</v>
      </c>
      <c r="L12" s="62">
        <v>43538</v>
      </c>
      <c r="M12" s="62">
        <v>43541</v>
      </c>
      <c r="N12" s="34">
        <f>777.53/2</f>
        <v>388.76499999999999</v>
      </c>
      <c r="O12" s="34">
        <f>777.53/2</f>
        <v>388.76499999999999</v>
      </c>
      <c r="P12" s="34">
        <f t="shared" si="0"/>
        <v>777.53</v>
      </c>
      <c r="Q12" s="34">
        <v>0</v>
      </c>
      <c r="R12" s="34">
        <v>0</v>
      </c>
      <c r="S12" s="34">
        <v>0</v>
      </c>
      <c r="T12" s="34">
        <v>0</v>
      </c>
      <c r="U12" s="34">
        <f t="shared" si="1"/>
        <v>0</v>
      </c>
      <c r="V12" s="34">
        <f t="shared" si="2"/>
        <v>777.53</v>
      </c>
      <c r="W12" s="34">
        <f t="shared" si="3"/>
        <v>777.53</v>
      </c>
      <c r="X12" s="34"/>
    </row>
    <row r="13" spans="1:24" ht="25.5">
      <c r="A13" s="34" t="s">
        <v>253</v>
      </c>
      <c r="B13" s="34" t="s">
        <v>253</v>
      </c>
      <c r="C13" s="34" t="s">
        <v>223</v>
      </c>
      <c r="D13" s="29" t="s">
        <v>77</v>
      </c>
      <c r="E13" s="20" t="s">
        <v>50</v>
      </c>
      <c r="F13" s="34" t="s">
        <v>413</v>
      </c>
      <c r="G13" s="34" t="s">
        <v>36</v>
      </c>
      <c r="H13" s="34" t="s">
        <v>37</v>
      </c>
      <c r="I13" s="34" t="s">
        <v>38</v>
      </c>
      <c r="J13" s="34" t="s">
        <v>62</v>
      </c>
      <c r="K13" s="34" t="s">
        <v>414</v>
      </c>
      <c r="L13" s="62">
        <v>43542</v>
      </c>
      <c r="M13" s="62">
        <v>43547</v>
      </c>
      <c r="N13" s="34">
        <f>1769.13/2</f>
        <v>884.56500000000005</v>
      </c>
      <c r="O13" s="34">
        <f>1769.13/2</f>
        <v>884.56500000000005</v>
      </c>
      <c r="P13" s="34">
        <f t="shared" si="0"/>
        <v>1769.13</v>
      </c>
      <c r="Q13" s="34">
        <v>0</v>
      </c>
      <c r="R13" s="34">
        <v>0</v>
      </c>
      <c r="S13" s="34">
        <v>0</v>
      </c>
      <c r="T13" s="34">
        <v>0</v>
      </c>
      <c r="U13" s="34">
        <f t="shared" si="1"/>
        <v>0</v>
      </c>
      <c r="V13" s="34">
        <f t="shared" si="2"/>
        <v>1769.13</v>
      </c>
      <c r="W13" s="34">
        <f t="shared" si="3"/>
        <v>1769.13</v>
      </c>
      <c r="X13" s="34"/>
    </row>
    <row r="14" spans="1:24" ht="25.5">
      <c r="A14" s="34" t="s">
        <v>231</v>
      </c>
      <c r="B14" s="34" t="s">
        <v>221</v>
      </c>
      <c r="C14" s="34" t="s">
        <v>54</v>
      </c>
      <c r="D14" s="29" t="s">
        <v>88</v>
      </c>
      <c r="E14" s="20" t="s">
        <v>55</v>
      </c>
      <c r="F14" s="34" t="s">
        <v>415</v>
      </c>
      <c r="G14" s="34" t="s">
        <v>36</v>
      </c>
      <c r="H14" s="34" t="s">
        <v>37</v>
      </c>
      <c r="I14" s="34" t="s">
        <v>38</v>
      </c>
      <c r="J14" s="34" t="s">
        <v>109</v>
      </c>
      <c r="K14" s="34" t="s">
        <v>110</v>
      </c>
      <c r="L14" s="62">
        <v>43538</v>
      </c>
      <c r="M14" s="62">
        <v>43539</v>
      </c>
      <c r="N14" s="34">
        <f>530.93/2</f>
        <v>265.46499999999997</v>
      </c>
      <c r="O14" s="34">
        <f>530.93/2</f>
        <v>265.46499999999997</v>
      </c>
      <c r="P14" s="34">
        <f t="shared" si="0"/>
        <v>530.92999999999995</v>
      </c>
      <c r="Q14" s="34">
        <v>4</v>
      </c>
      <c r="R14" s="34">
        <v>120</v>
      </c>
      <c r="S14" s="34">
        <v>0</v>
      </c>
      <c r="T14" s="34">
        <v>0</v>
      </c>
      <c r="U14" s="34">
        <f t="shared" si="1"/>
        <v>480</v>
      </c>
      <c r="V14" s="34">
        <f t="shared" si="2"/>
        <v>1010.93</v>
      </c>
      <c r="W14" s="34">
        <f t="shared" si="3"/>
        <v>1010.93</v>
      </c>
      <c r="X14" s="34"/>
    </row>
    <row r="15" spans="1:24" ht="38.25">
      <c r="A15" s="34" t="s">
        <v>371</v>
      </c>
      <c r="B15" s="34" t="s">
        <v>371</v>
      </c>
      <c r="C15" s="34" t="s">
        <v>79</v>
      </c>
      <c r="D15" s="29" t="s">
        <v>77</v>
      </c>
      <c r="E15" s="20" t="s">
        <v>80</v>
      </c>
      <c r="F15" s="34" t="s">
        <v>416</v>
      </c>
      <c r="G15" s="34" t="s">
        <v>36</v>
      </c>
      <c r="H15" s="34" t="s">
        <v>37</v>
      </c>
      <c r="I15" s="34" t="s">
        <v>38</v>
      </c>
      <c r="J15" s="34" t="s">
        <v>62</v>
      </c>
      <c r="K15" s="34" t="s">
        <v>63</v>
      </c>
      <c r="L15" s="62">
        <v>43549</v>
      </c>
      <c r="M15" s="62">
        <v>43551</v>
      </c>
      <c r="N15" s="34">
        <f>1139.28/2</f>
        <v>569.64</v>
      </c>
      <c r="O15" s="34">
        <f>1139.28/2</f>
        <v>569.64</v>
      </c>
      <c r="P15" s="34">
        <f t="shared" si="0"/>
        <v>1139.28</v>
      </c>
      <c r="Q15" s="34">
        <v>0</v>
      </c>
      <c r="R15" s="34">
        <v>0</v>
      </c>
      <c r="S15" s="34">
        <v>0</v>
      </c>
      <c r="T15" s="34">
        <v>0</v>
      </c>
      <c r="U15" s="34">
        <f t="shared" si="1"/>
        <v>0</v>
      </c>
      <c r="V15" s="34">
        <f t="shared" si="2"/>
        <v>1139.28</v>
      </c>
      <c r="W15" s="34">
        <f t="shared" si="3"/>
        <v>1139.28</v>
      </c>
      <c r="X15" s="34"/>
    </row>
    <row r="16" spans="1:24" ht="25.5">
      <c r="A16" s="34" t="s">
        <v>253</v>
      </c>
      <c r="B16" s="34" t="s">
        <v>288</v>
      </c>
      <c r="C16" s="34" t="s">
        <v>378</v>
      </c>
      <c r="D16" s="29" t="s">
        <v>379</v>
      </c>
      <c r="E16" s="20" t="s">
        <v>380</v>
      </c>
      <c r="F16" s="34" t="s">
        <v>230</v>
      </c>
      <c r="G16" s="34" t="s">
        <v>36</v>
      </c>
      <c r="H16" s="34" t="s">
        <v>37</v>
      </c>
      <c r="I16" s="34" t="s">
        <v>38</v>
      </c>
      <c r="J16" s="34" t="s">
        <v>62</v>
      </c>
      <c r="K16" s="34" t="s">
        <v>63</v>
      </c>
      <c r="L16" s="62">
        <v>43552</v>
      </c>
      <c r="M16" s="62">
        <v>43553</v>
      </c>
      <c r="N16" s="34">
        <f>1106.28/2</f>
        <v>553.14</v>
      </c>
      <c r="O16" s="34">
        <f>1106.28/2</f>
        <v>553.14</v>
      </c>
      <c r="P16" s="34">
        <f t="shared" si="0"/>
        <v>1106.28</v>
      </c>
      <c r="Q16" s="34">
        <v>2</v>
      </c>
      <c r="R16" s="34">
        <v>120</v>
      </c>
      <c r="S16" s="34">
        <v>0</v>
      </c>
      <c r="T16" s="34">
        <v>0</v>
      </c>
      <c r="U16" s="34">
        <f t="shared" si="1"/>
        <v>240</v>
      </c>
      <c r="V16" s="34">
        <f t="shared" si="2"/>
        <v>1346.28</v>
      </c>
      <c r="W16" s="34">
        <f t="shared" si="3"/>
        <v>1346.28</v>
      </c>
      <c r="X16" s="34"/>
    </row>
    <row r="17" spans="1:24" ht="38.25">
      <c r="A17" s="34" t="s">
        <v>371</v>
      </c>
      <c r="B17" s="34" t="s">
        <v>240</v>
      </c>
      <c r="C17" s="34" t="s">
        <v>137</v>
      </c>
      <c r="D17" s="29" t="s">
        <v>138</v>
      </c>
      <c r="E17" s="34" t="s">
        <v>294</v>
      </c>
      <c r="F17" s="34" t="s">
        <v>417</v>
      </c>
      <c r="G17" s="34" t="s">
        <v>36</v>
      </c>
      <c r="H17" s="34" t="s">
        <v>37</v>
      </c>
      <c r="I17" s="34" t="s">
        <v>38</v>
      </c>
      <c r="J17" s="34" t="s">
        <v>116</v>
      </c>
      <c r="K17" s="34" t="s">
        <v>117</v>
      </c>
      <c r="L17" s="62">
        <v>43555</v>
      </c>
      <c r="M17" s="62">
        <v>43557</v>
      </c>
      <c r="N17" s="34">
        <f>943.81/2</f>
        <v>471.90499999999997</v>
      </c>
      <c r="O17" s="34">
        <f>943.81/2</f>
        <v>471.90499999999997</v>
      </c>
      <c r="P17" s="34">
        <f t="shared" si="0"/>
        <v>943.81</v>
      </c>
      <c r="Q17" s="34">
        <v>5</v>
      </c>
      <c r="R17" s="34">
        <v>120</v>
      </c>
      <c r="S17" s="34">
        <v>0</v>
      </c>
      <c r="T17" s="34">
        <v>0</v>
      </c>
      <c r="U17" s="34">
        <f t="shared" si="1"/>
        <v>600</v>
      </c>
      <c r="V17" s="34">
        <f t="shared" si="2"/>
        <v>1543.81</v>
      </c>
      <c r="W17" s="34">
        <f t="shared" si="3"/>
        <v>1543.81</v>
      </c>
      <c r="X17" s="34"/>
    </row>
    <row r="18" spans="1:24" ht="25.5">
      <c r="A18" s="34" t="s">
        <v>371</v>
      </c>
      <c r="B18" s="34" t="s">
        <v>240</v>
      </c>
      <c r="C18" s="34" t="s">
        <v>140</v>
      </c>
      <c r="D18" s="29" t="s">
        <v>141</v>
      </c>
      <c r="E18" s="20" t="s">
        <v>411</v>
      </c>
      <c r="F18" s="34" t="s">
        <v>417</v>
      </c>
      <c r="G18" s="34" t="s">
        <v>36</v>
      </c>
      <c r="H18" s="34" t="s">
        <v>37</v>
      </c>
      <c r="I18" s="34" t="s">
        <v>38</v>
      </c>
      <c r="J18" s="34" t="s">
        <v>116</v>
      </c>
      <c r="K18" s="34" t="s">
        <v>117</v>
      </c>
      <c r="L18" s="62">
        <v>43555</v>
      </c>
      <c r="M18" s="62">
        <v>43557</v>
      </c>
      <c r="N18" s="34">
        <f>943.81/2</f>
        <v>471.90499999999997</v>
      </c>
      <c r="O18" s="34">
        <f>943.81/2</f>
        <v>471.90499999999997</v>
      </c>
      <c r="P18" s="34">
        <f t="shared" si="0"/>
        <v>943.81</v>
      </c>
      <c r="Q18" s="34">
        <v>7</v>
      </c>
      <c r="R18" s="34">
        <v>120</v>
      </c>
      <c r="S18" s="34">
        <v>0</v>
      </c>
      <c r="T18" s="34">
        <v>0</v>
      </c>
      <c r="U18" s="34">
        <f t="shared" si="1"/>
        <v>840</v>
      </c>
      <c r="V18" s="34">
        <f t="shared" si="2"/>
        <v>1783.81</v>
      </c>
      <c r="W18" s="34">
        <f t="shared" si="3"/>
        <v>1783.81</v>
      </c>
      <c r="X18" s="34"/>
    </row>
    <row r="19" spans="1:24" ht="25.5">
      <c r="A19" s="34" t="s">
        <v>253</v>
      </c>
      <c r="B19" s="34" t="s">
        <v>253</v>
      </c>
      <c r="C19" s="34" t="s">
        <v>320</v>
      </c>
      <c r="D19" s="56" t="s">
        <v>321</v>
      </c>
      <c r="E19" s="20" t="s">
        <v>343</v>
      </c>
      <c r="F19" s="34" t="s">
        <v>417</v>
      </c>
      <c r="G19" s="34" t="s">
        <v>36</v>
      </c>
      <c r="H19" s="34" t="s">
        <v>62</v>
      </c>
      <c r="I19" s="34" t="s">
        <v>63</v>
      </c>
      <c r="J19" s="34" t="s">
        <v>116</v>
      </c>
      <c r="K19" s="34" t="s">
        <v>117</v>
      </c>
      <c r="L19" s="62">
        <v>43555</v>
      </c>
      <c r="M19" s="62">
        <v>43557</v>
      </c>
      <c r="N19" s="34">
        <f>711.53/2</f>
        <v>355.76499999999999</v>
      </c>
      <c r="O19" s="34">
        <f>711.53/2</f>
        <v>355.76499999999999</v>
      </c>
      <c r="P19" s="34">
        <f t="shared" si="0"/>
        <v>711.53</v>
      </c>
      <c r="Q19" s="34">
        <v>3</v>
      </c>
      <c r="R19" s="34">
        <v>120</v>
      </c>
      <c r="S19" s="34">
        <v>0</v>
      </c>
      <c r="T19" s="34">
        <v>0</v>
      </c>
      <c r="U19" s="34">
        <f t="shared" si="1"/>
        <v>360</v>
      </c>
      <c r="V19" s="34">
        <f t="shared" si="2"/>
        <v>1071.53</v>
      </c>
      <c r="W19" s="34">
        <f t="shared" si="3"/>
        <v>1071.53</v>
      </c>
      <c r="X19" s="3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22"/>
  <sheetViews>
    <sheetView workbookViewId="0">
      <selection activeCell="E12" sqref="E12"/>
    </sheetView>
  </sheetViews>
  <sheetFormatPr defaultRowHeight="15" customHeight="1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62" t="s">
        <v>0</v>
      </c>
      <c r="W5" s="162"/>
      <c r="X5" s="8">
        <v>42948</v>
      </c>
    </row>
    <row r="6" spans="1:24">
      <c r="A6" s="96" t="s">
        <v>1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</row>
    <row r="7" spans="1:24">
      <c r="A7" s="96" t="s">
        <v>2</v>
      </c>
      <c r="B7" s="96"/>
      <c r="C7" s="96" t="s">
        <v>3</v>
      </c>
      <c r="D7" s="96"/>
      <c r="E7" s="96"/>
      <c r="F7" s="96" t="s">
        <v>4</v>
      </c>
      <c r="G7" s="96"/>
      <c r="H7" s="96"/>
      <c r="I7" s="96"/>
      <c r="J7" s="96"/>
      <c r="K7" s="96"/>
      <c r="L7" s="96"/>
      <c r="M7" s="96"/>
      <c r="N7" s="96" t="s">
        <v>5</v>
      </c>
      <c r="O7" s="96"/>
      <c r="P7" s="96"/>
      <c r="Q7" s="96" t="s">
        <v>6</v>
      </c>
      <c r="R7" s="96"/>
      <c r="S7" s="96"/>
      <c r="T7" s="96"/>
      <c r="U7" s="96"/>
      <c r="V7" s="96"/>
      <c r="W7" s="96" t="s">
        <v>7</v>
      </c>
      <c r="X7" s="96" t="s">
        <v>8</v>
      </c>
    </row>
    <row r="8" spans="1:24" s="9" customFormat="1">
      <c r="A8" s="97" t="s">
        <v>9</v>
      </c>
      <c r="B8" s="97" t="s">
        <v>10</v>
      </c>
      <c r="C8" s="97" t="s">
        <v>11</v>
      </c>
      <c r="D8" s="97" t="s">
        <v>12</v>
      </c>
      <c r="E8" s="97" t="s">
        <v>13</v>
      </c>
      <c r="F8" s="97" t="s">
        <v>14</v>
      </c>
      <c r="G8" s="97" t="s">
        <v>15</v>
      </c>
      <c r="H8" s="97" t="s">
        <v>16</v>
      </c>
      <c r="I8" s="97"/>
      <c r="J8" s="98" t="s">
        <v>17</v>
      </c>
      <c r="K8" s="98"/>
      <c r="L8" s="97" t="s">
        <v>18</v>
      </c>
      <c r="M8" s="97" t="s">
        <v>19</v>
      </c>
      <c r="N8" s="98" t="s">
        <v>20</v>
      </c>
      <c r="O8" s="98" t="s">
        <v>21</v>
      </c>
      <c r="P8" s="98" t="s">
        <v>22</v>
      </c>
      <c r="Q8" s="98" t="s">
        <v>23</v>
      </c>
      <c r="R8" s="98"/>
      <c r="S8" s="98" t="s">
        <v>24</v>
      </c>
      <c r="T8" s="98"/>
      <c r="U8" s="97" t="s">
        <v>25</v>
      </c>
      <c r="V8" s="98" t="s">
        <v>22</v>
      </c>
      <c r="W8" s="96"/>
      <c r="X8" s="96"/>
    </row>
    <row r="9" spans="1:24" s="9" customFormat="1">
      <c r="A9" s="97"/>
      <c r="B9" s="97"/>
      <c r="C9" s="97"/>
      <c r="D9" s="97"/>
      <c r="E9" s="97"/>
      <c r="F9" s="97"/>
      <c r="G9" s="97"/>
      <c r="H9" s="10" t="s">
        <v>26</v>
      </c>
      <c r="I9" s="10" t="s">
        <v>27</v>
      </c>
      <c r="J9" s="10" t="s">
        <v>26</v>
      </c>
      <c r="K9" s="11" t="s">
        <v>28</v>
      </c>
      <c r="L9" s="97"/>
      <c r="M9" s="97"/>
      <c r="N9" s="98"/>
      <c r="O9" s="98"/>
      <c r="P9" s="98"/>
      <c r="Q9" s="10" t="s">
        <v>29</v>
      </c>
      <c r="R9" s="11" t="s">
        <v>30</v>
      </c>
      <c r="S9" s="10" t="s">
        <v>29</v>
      </c>
      <c r="T9" s="11" t="s">
        <v>30</v>
      </c>
      <c r="U9" s="97"/>
      <c r="V9" s="98"/>
      <c r="W9" s="96"/>
      <c r="X9" s="96"/>
    </row>
    <row r="10" spans="1:24" ht="38.25">
      <c r="A10" s="19" t="s">
        <v>52</v>
      </c>
      <c r="B10" s="19" t="s">
        <v>57</v>
      </c>
      <c r="C10" s="19" t="s">
        <v>58</v>
      </c>
      <c r="D10" s="26" t="s">
        <v>59</v>
      </c>
      <c r="E10" s="20" t="s">
        <v>60</v>
      </c>
      <c r="F10" s="14" t="s">
        <v>61</v>
      </c>
      <c r="G10" s="21" t="s">
        <v>36</v>
      </c>
      <c r="H10" s="19" t="s">
        <v>37</v>
      </c>
      <c r="I10" s="19" t="s">
        <v>38</v>
      </c>
      <c r="J10" s="19" t="s">
        <v>62</v>
      </c>
      <c r="K10" s="22" t="s">
        <v>63</v>
      </c>
      <c r="L10" s="23">
        <v>42962</v>
      </c>
      <c r="M10" s="23">
        <v>42963</v>
      </c>
      <c r="N10" s="22">
        <f>931.88/2</f>
        <v>465.94</v>
      </c>
      <c r="O10" s="22">
        <f>931.88/2</f>
        <v>465.94</v>
      </c>
      <c r="P10" s="22">
        <f>N10+O10</f>
        <v>931.88</v>
      </c>
      <c r="Q10" s="19">
        <v>4</v>
      </c>
      <c r="R10" s="22">
        <v>120</v>
      </c>
      <c r="S10" s="19"/>
      <c r="T10" s="22"/>
      <c r="U10" s="24">
        <f>(Q10*R10)+(S10*T10)</f>
        <v>480</v>
      </c>
      <c r="V10" s="22">
        <f>P10+U10</f>
        <v>1411.88</v>
      </c>
      <c r="W10" s="22">
        <f>V10</f>
        <v>1411.88</v>
      </c>
      <c r="X10" s="12"/>
    </row>
    <row r="11" spans="1:24" ht="25.5">
      <c r="A11" s="19" t="s">
        <v>52</v>
      </c>
      <c r="B11" s="12" t="s">
        <v>64</v>
      </c>
      <c r="C11" s="12" t="s">
        <v>65</v>
      </c>
      <c r="D11" s="26" t="s">
        <v>66</v>
      </c>
      <c r="E11" s="14" t="s">
        <v>67</v>
      </c>
      <c r="F11" s="14" t="s">
        <v>68</v>
      </c>
      <c r="G11" s="21" t="s">
        <v>36</v>
      </c>
      <c r="H11" s="19" t="s">
        <v>37</v>
      </c>
      <c r="I11" s="19" t="s">
        <v>38</v>
      </c>
      <c r="J11" s="19" t="s">
        <v>39</v>
      </c>
      <c r="K11" s="22" t="s">
        <v>40</v>
      </c>
      <c r="L11" s="16">
        <v>42960</v>
      </c>
      <c r="M11" s="16">
        <v>42963</v>
      </c>
      <c r="N11" s="22">
        <f>888.12/2</f>
        <v>444.06</v>
      </c>
      <c r="O11" s="22">
        <f>888.12/2</f>
        <v>444.06</v>
      </c>
      <c r="P11" s="22">
        <f t="shared" ref="P11:P22" si="0">N11+O11</f>
        <v>888.12</v>
      </c>
      <c r="Q11" s="19">
        <v>4</v>
      </c>
      <c r="R11" s="22">
        <v>120</v>
      </c>
      <c r="S11" s="12">
        <v>3</v>
      </c>
      <c r="T11" s="15">
        <v>100</v>
      </c>
      <c r="U11" s="24">
        <f>(Q11*R11)+(S11*T11)</f>
        <v>780</v>
      </c>
      <c r="V11" s="22">
        <f>P11+U11</f>
        <v>1668.12</v>
      </c>
      <c r="W11" s="22">
        <f>V11</f>
        <v>1668.12</v>
      </c>
      <c r="X11" s="12"/>
    </row>
    <row r="12" spans="1:24" ht="38.25">
      <c r="A12" s="12" t="s">
        <v>44</v>
      </c>
      <c r="B12" s="12" t="s">
        <v>45</v>
      </c>
      <c r="C12" s="14" t="s">
        <v>46</v>
      </c>
      <c r="D12" s="26" t="s">
        <v>69</v>
      </c>
      <c r="E12" s="14" t="s">
        <v>47</v>
      </c>
      <c r="F12" s="14" t="s">
        <v>70</v>
      </c>
      <c r="G12" s="21" t="s">
        <v>36</v>
      </c>
      <c r="H12" s="19" t="s">
        <v>37</v>
      </c>
      <c r="I12" s="19" t="s">
        <v>38</v>
      </c>
      <c r="J12" s="19" t="s">
        <v>39</v>
      </c>
      <c r="K12" s="22" t="s">
        <v>40</v>
      </c>
      <c r="L12" s="16">
        <v>42962</v>
      </c>
      <c r="M12" s="16">
        <v>42965</v>
      </c>
      <c r="N12" s="22">
        <f>602.42/2</f>
        <v>301.20999999999998</v>
      </c>
      <c r="O12" s="22">
        <f>602.42/2</f>
        <v>301.20999999999998</v>
      </c>
      <c r="P12" s="22">
        <f t="shared" si="0"/>
        <v>602.41999999999996</v>
      </c>
      <c r="Q12" s="19">
        <v>7</v>
      </c>
      <c r="R12" s="22">
        <v>120</v>
      </c>
      <c r="S12" s="12"/>
      <c r="T12" s="15"/>
      <c r="U12" s="24">
        <f t="shared" ref="U12:U22" si="1">(Q12*R12)+(S12*T12)</f>
        <v>840</v>
      </c>
      <c r="V12" s="22">
        <f t="shared" ref="V12:V22" si="2">P12+U12</f>
        <v>1442.42</v>
      </c>
      <c r="W12" s="22">
        <f t="shared" ref="W12:W22" si="3">V12</f>
        <v>1442.42</v>
      </c>
      <c r="X12" s="12"/>
    </row>
    <row r="13" spans="1:24" ht="38.25">
      <c r="A13" s="19" t="s">
        <v>52</v>
      </c>
      <c r="B13" s="12" t="s">
        <v>64</v>
      </c>
      <c r="C13" s="12" t="s">
        <v>71</v>
      </c>
      <c r="D13" s="26" t="s">
        <v>72</v>
      </c>
      <c r="E13" s="14" t="s">
        <v>73</v>
      </c>
      <c r="F13" s="14" t="s">
        <v>68</v>
      </c>
      <c r="G13" s="21" t="s">
        <v>36</v>
      </c>
      <c r="H13" s="19" t="s">
        <v>37</v>
      </c>
      <c r="I13" s="19" t="s">
        <v>38</v>
      </c>
      <c r="J13" s="19" t="s">
        <v>39</v>
      </c>
      <c r="K13" s="22" t="s">
        <v>40</v>
      </c>
      <c r="L13" s="16">
        <v>42960</v>
      </c>
      <c r="M13" s="16">
        <v>42963</v>
      </c>
      <c r="N13" s="22">
        <f>888.12/2</f>
        <v>444.06</v>
      </c>
      <c r="O13" s="22">
        <f>888.12/2</f>
        <v>444.06</v>
      </c>
      <c r="P13" s="22">
        <f t="shared" si="0"/>
        <v>888.12</v>
      </c>
      <c r="Q13" s="19">
        <v>4</v>
      </c>
      <c r="R13" s="22">
        <v>120</v>
      </c>
      <c r="S13" s="18">
        <v>3</v>
      </c>
      <c r="T13" s="15">
        <v>100</v>
      </c>
      <c r="U13" s="24">
        <f t="shared" si="1"/>
        <v>780</v>
      </c>
      <c r="V13" s="22">
        <f t="shared" si="2"/>
        <v>1668.12</v>
      </c>
      <c r="W13" s="22">
        <f t="shared" si="3"/>
        <v>1668.12</v>
      </c>
      <c r="X13" s="18"/>
    </row>
    <row r="14" spans="1:24" ht="25.5">
      <c r="A14" s="12" t="s">
        <v>31</v>
      </c>
      <c r="B14" s="12" t="s">
        <v>32</v>
      </c>
      <c r="C14" s="12" t="s">
        <v>33</v>
      </c>
      <c r="D14" s="26" t="s">
        <v>74</v>
      </c>
      <c r="E14" s="14" t="s">
        <v>34</v>
      </c>
      <c r="F14" s="14" t="s">
        <v>75</v>
      </c>
      <c r="G14" s="21" t="s">
        <v>36</v>
      </c>
      <c r="H14" s="19" t="s">
        <v>37</v>
      </c>
      <c r="I14" s="19" t="s">
        <v>38</v>
      </c>
      <c r="J14" s="19" t="s">
        <v>39</v>
      </c>
      <c r="K14" s="22" t="s">
        <v>40</v>
      </c>
      <c r="L14" s="16">
        <v>42954</v>
      </c>
      <c r="M14" s="16">
        <v>42957</v>
      </c>
      <c r="N14" s="22">
        <f>928.2/2</f>
        <v>464.1</v>
      </c>
      <c r="O14" s="22">
        <f>928.2/2</f>
        <v>464.1</v>
      </c>
      <c r="P14" s="22">
        <f t="shared" si="0"/>
        <v>928.2</v>
      </c>
      <c r="Q14" s="19">
        <v>4</v>
      </c>
      <c r="R14" s="22">
        <v>120</v>
      </c>
      <c r="S14" s="18"/>
      <c r="T14" s="15"/>
      <c r="U14" s="24">
        <f t="shared" si="1"/>
        <v>480</v>
      </c>
      <c r="V14" s="22">
        <f t="shared" si="2"/>
        <v>1408.2</v>
      </c>
      <c r="W14" s="22">
        <f t="shared" si="3"/>
        <v>1408.2</v>
      </c>
      <c r="X14" s="18"/>
    </row>
    <row r="15" spans="1:24" ht="25.5">
      <c r="A15" s="12" t="s">
        <v>44</v>
      </c>
      <c r="B15" s="12" t="s">
        <v>44</v>
      </c>
      <c r="C15" s="12" t="s">
        <v>76</v>
      </c>
      <c r="D15" s="26" t="s">
        <v>77</v>
      </c>
      <c r="E15" s="14" t="s">
        <v>78</v>
      </c>
      <c r="F15" s="14" t="s">
        <v>75</v>
      </c>
      <c r="G15" s="21" t="s">
        <v>36</v>
      </c>
      <c r="H15" s="19" t="s">
        <v>37</v>
      </c>
      <c r="I15" s="19" t="s">
        <v>38</v>
      </c>
      <c r="J15" s="19" t="s">
        <v>39</v>
      </c>
      <c r="K15" s="22" t="s">
        <v>40</v>
      </c>
      <c r="L15" s="16">
        <v>42962</v>
      </c>
      <c r="M15" s="16">
        <v>42963</v>
      </c>
      <c r="N15" s="22">
        <f>602.42/2</f>
        <v>301.20999999999998</v>
      </c>
      <c r="O15" s="22">
        <f>602.42/2</f>
        <v>301.20999999999998</v>
      </c>
      <c r="P15" s="22">
        <f t="shared" si="0"/>
        <v>602.41999999999996</v>
      </c>
      <c r="Q15" s="19">
        <v>2</v>
      </c>
      <c r="R15" s="22">
        <v>120</v>
      </c>
      <c r="S15" s="18"/>
      <c r="T15" s="15"/>
      <c r="U15" s="24">
        <f t="shared" si="1"/>
        <v>240</v>
      </c>
      <c r="V15" s="22">
        <f t="shared" si="2"/>
        <v>842.42</v>
      </c>
      <c r="W15" s="22">
        <f t="shared" si="3"/>
        <v>842.42</v>
      </c>
      <c r="X15" s="18"/>
    </row>
    <row r="16" spans="1:24" ht="25.5">
      <c r="A16" s="12" t="s">
        <v>31</v>
      </c>
      <c r="B16" s="12" t="s">
        <v>31</v>
      </c>
      <c r="C16" s="12" t="s">
        <v>49</v>
      </c>
      <c r="D16" s="26" t="s">
        <v>77</v>
      </c>
      <c r="E16" s="14" t="s">
        <v>50</v>
      </c>
      <c r="F16" s="14" t="s">
        <v>75</v>
      </c>
      <c r="G16" s="21" t="s">
        <v>36</v>
      </c>
      <c r="H16" s="19" t="s">
        <v>37</v>
      </c>
      <c r="I16" s="19" t="s">
        <v>38</v>
      </c>
      <c r="J16" s="19" t="s">
        <v>39</v>
      </c>
      <c r="K16" s="22" t="s">
        <v>40</v>
      </c>
      <c r="L16" s="16">
        <v>42970</v>
      </c>
      <c r="M16" s="16">
        <v>42972</v>
      </c>
      <c r="N16" s="22">
        <f>562.67/2</f>
        <v>281.33499999999998</v>
      </c>
      <c r="O16" s="22">
        <f>562.67/2</f>
        <v>281.33499999999998</v>
      </c>
      <c r="P16" s="22">
        <f t="shared" si="0"/>
        <v>562.66999999999996</v>
      </c>
      <c r="Q16" s="19"/>
      <c r="R16" s="22"/>
      <c r="S16" s="18"/>
      <c r="T16" s="15"/>
      <c r="U16" s="24">
        <f t="shared" si="1"/>
        <v>0</v>
      </c>
      <c r="V16" s="22">
        <f>P16+U16</f>
        <v>562.66999999999996</v>
      </c>
      <c r="W16" s="22">
        <f t="shared" si="3"/>
        <v>562.66999999999996</v>
      </c>
      <c r="X16" s="18"/>
    </row>
    <row r="17" spans="1:24" ht="38.25">
      <c r="A17" s="12" t="s">
        <v>44</v>
      </c>
      <c r="B17" s="12" t="s">
        <v>44</v>
      </c>
      <c r="C17" s="12" t="s">
        <v>79</v>
      </c>
      <c r="D17" s="26" t="s">
        <v>77</v>
      </c>
      <c r="E17" s="14" t="s">
        <v>80</v>
      </c>
      <c r="F17" s="14" t="s">
        <v>75</v>
      </c>
      <c r="G17" s="21" t="s">
        <v>36</v>
      </c>
      <c r="H17" s="19" t="s">
        <v>37</v>
      </c>
      <c r="I17" s="19" t="s">
        <v>38</v>
      </c>
      <c r="J17" s="19" t="s">
        <v>39</v>
      </c>
      <c r="K17" s="22" t="s">
        <v>40</v>
      </c>
      <c r="L17" s="16">
        <v>42969</v>
      </c>
      <c r="M17" s="16">
        <v>42970</v>
      </c>
      <c r="N17" s="22">
        <f>722.21/2</f>
        <v>361.10500000000002</v>
      </c>
      <c r="O17" s="22">
        <f>722.21/2</f>
        <v>361.10500000000002</v>
      </c>
      <c r="P17" s="22">
        <f t="shared" si="0"/>
        <v>722.21</v>
      </c>
      <c r="Q17" s="19"/>
      <c r="R17" s="22"/>
      <c r="S17" s="18"/>
      <c r="T17" s="15"/>
      <c r="U17" s="24">
        <f t="shared" si="1"/>
        <v>0</v>
      </c>
      <c r="V17" s="22">
        <f t="shared" si="2"/>
        <v>722.21</v>
      </c>
      <c r="W17" s="22">
        <f t="shared" si="3"/>
        <v>722.21</v>
      </c>
      <c r="X17" s="18"/>
    </row>
    <row r="18" spans="1:24" ht="25.5">
      <c r="A18" s="12" t="s">
        <v>31</v>
      </c>
      <c r="B18" s="12" t="s">
        <v>81</v>
      </c>
      <c r="C18" s="12" t="s">
        <v>82</v>
      </c>
      <c r="D18" s="26" t="s">
        <v>83</v>
      </c>
      <c r="E18" s="14" t="s">
        <v>84</v>
      </c>
      <c r="F18" s="14" t="s">
        <v>85</v>
      </c>
      <c r="G18" s="21" t="s">
        <v>36</v>
      </c>
      <c r="H18" s="19" t="s">
        <v>37</v>
      </c>
      <c r="I18" s="19" t="s">
        <v>38</v>
      </c>
      <c r="J18" s="19" t="s">
        <v>39</v>
      </c>
      <c r="K18" s="22" t="s">
        <v>40</v>
      </c>
      <c r="L18" s="16">
        <v>42962</v>
      </c>
      <c r="M18" s="16">
        <v>42963</v>
      </c>
      <c r="N18" s="22">
        <f>506.24/2</f>
        <v>253.12</v>
      </c>
      <c r="O18" s="22">
        <f>506.24/2</f>
        <v>253.12</v>
      </c>
      <c r="P18" s="22">
        <f t="shared" si="0"/>
        <v>506.24</v>
      </c>
      <c r="Q18" s="19">
        <v>4</v>
      </c>
      <c r="R18" s="22">
        <v>120</v>
      </c>
      <c r="S18" s="18"/>
      <c r="T18" s="15"/>
      <c r="U18" s="24">
        <f t="shared" si="1"/>
        <v>480</v>
      </c>
      <c r="V18" s="22">
        <f t="shared" si="2"/>
        <v>986.24</v>
      </c>
      <c r="W18" s="22">
        <f t="shared" si="3"/>
        <v>986.24</v>
      </c>
      <c r="X18" s="18"/>
    </row>
    <row r="19" spans="1:24" ht="25.5">
      <c r="A19" s="12" t="s">
        <v>52</v>
      </c>
      <c r="B19" s="12" t="s">
        <v>52</v>
      </c>
      <c r="C19" s="12" t="s">
        <v>86</v>
      </c>
      <c r="D19" s="26" t="s">
        <v>77</v>
      </c>
      <c r="E19" s="14" t="s">
        <v>87</v>
      </c>
      <c r="F19" s="14" t="s">
        <v>75</v>
      </c>
      <c r="G19" s="21" t="s">
        <v>36</v>
      </c>
      <c r="H19" s="19" t="s">
        <v>37</v>
      </c>
      <c r="I19" s="19" t="s">
        <v>38</v>
      </c>
      <c r="J19" s="19" t="s">
        <v>39</v>
      </c>
      <c r="K19" s="22" t="s">
        <v>40</v>
      </c>
      <c r="L19" s="16">
        <v>42969</v>
      </c>
      <c r="M19" s="16">
        <v>42969</v>
      </c>
      <c r="N19" s="22">
        <f>619.11/2</f>
        <v>309.55500000000001</v>
      </c>
      <c r="O19" s="22">
        <f>619.11/2</f>
        <v>309.55500000000001</v>
      </c>
      <c r="P19" s="22">
        <f t="shared" si="0"/>
        <v>619.11</v>
      </c>
      <c r="Q19" s="19"/>
      <c r="R19" s="22"/>
      <c r="S19" s="18"/>
      <c r="T19" s="15"/>
      <c r="U19" s="24">
        <f t="shared" si="1"/>
        <v>0</v>
      </c>
      <c r="V19" s="22">
        <f t="shared" si="2"/>
        <v>619.11</v>
      </c>
      <c r="W19" s="22">
        <f t="shared" si="3"/>
        <v>619.11</v>
      </c>
      <c r="X19" s="18"/>
    </row>
    <row r="20" spans="1:24" ht="25.5">
      <c r="A20" s="12" t="s">
        <v>52</v>
      </c>
      <c r="B20" s="12" t="s">
        <v>53</v>
      </c>
      <c r="C20" s="12" t="s">
        <v>54</v>
      </c>
      <c r="D20" s="26" t="s">
        <v>88</v>
      </c>
      <c r="E20" s="14" t="s">
        <v>55</v>
      </c>
      <c r="F20" s="14" t="s">
        <v>89</v>
      </c>
      <c r="G20" s="21" t="s">
        <v>36</v>
      </c>
      <c r="H20" s="19" t="s">
        <v>37</v>
      </c>
      <c r="I20" s="19" t="s">
        <v>38</v>
      </c>
      <c r="J20" s="19" t="s">
        <v>39</v>
      </c>
      <c r="K20" s="22" t="s">
        <v>40</v>
      </c>
      <c r="L20" s="16">
        <v>42970</v>
      </c>
      <c r="M20" s="16">
        <v>42970</v>
      </c>
      <c r="N20" s="22">
        <f>578.8/2</f>
        <v>289.39999999999998</v>
      </c>
      <c r="O20" s="22">
        <f>578.8/2</f>
        <v>289.39999999999998</v>
      </c>
      <c r="P20" s="22">
        <f t="shared" si="0"/>
        <v>578.79999999999995</v>
      </c>
      <c r="Q20" s="19">
        <v>2</v>
      </c>
      <c r="R20" s="22">
        <v>120</v>
      </c>
      <c r="S20" s="18"/>
      <c r="T20" s="15"/>
      <c r="U20" s="24">
        <f t="shared" si="1"/>
        <v>240</v>
      </c>
      <c r="V20" s="22">
        <f t="shared" si="2"/>
        <v>818.8</v>
      </c>
      <c r="W20" s="22">
        <f t="shared" si="3"/>
        <v>818.8</v>
      </c>
      <c r="X20" s="18"/>
    </row>
    <row r="21" spans="1:24" ht="25.5">
      <c r="A21" s="12" t="s">
        <v>52</v>
      </c>
      <c r="B21" s="12" t="s">
        <v>53</v>
      </c>
      <c r="C21" s="12" t="s">
        <v>54</v>
      </c>
      <c r="D21" s="26" t="s">
        <v>88</v>
      </c>
      <c r="E21" s="14" t="s">
        <v>55</v>
      </c>
      <c r="F21" s="14" t="s">
        <v>90</v>
      </c>
      <c r="G21" s="21" t="s">
        <v>36</v>
      </c>
      <c r="H21" s="19" t="s">
        <v>37</v>
      </c>
      <c r="I21" s="19" t="s">
        <v>38</v>
      </c>
      <c r="J21" s="19" t="s">
        <v>39</v>
      </c>
      <c r="K21" s="22" t="s">
        <v>40</v>
      </c>
      <c r="L21" s="16">
        <v>42978</v>
      </c>
      <c r="M21" s="16">
        <v>42979</v>
      </c>
      <c r="N21" s="22">
        <v>502.79</v>
      </c>
      <c r="O21" s="22">
        <v>847.7</v>
      </c>
      <c r="P21" s="22">
        <f t="shared" si="0"/>
        <v>1350.49</v>
      </c>
      <c r="Q21" s="19">
        <v>4</v>
      </c>
      <c r="R21" s="22">
        <v>120</v>
      </c>
      <c r="S21" s="18"/>
      <c r="T21" s="15"/>
      <c r="U21" s="24">
        <f t="shared" si="1"/>
        <v>480</v>
      </c>
      <c r="V21" s="22">
        <f t="shared" si="2"/>
        <v>1830.49</v>
      </c>
      <c r="W21" s="22">
        <f t="shared" si="3"/>
        <v>1830.49</v>
      </c>
      <c r="X21" s="18"/>
    </row>
    <row r="22" spans="1:24" ht="25.5">
      <c r="A22" s="12" t="s">
        <v>52</v>
      </c>
      <c r="B22" s="12" t="s">
        <v>52</v>
      </c>
      <c r="C22" s="12" t="s">
        <v>86</v>
      </c>
      <c r="D22" s="26" t="s">
        <v>77</v>
      </c>
      <c r="E22" s="14" t="s">
        <v>87</v>
      </c>
      <c r="F22" s="14" t="s">
        <v>90</v>
      </c>
      <c r="G22" s="21" t="s">
        <v>36</v>
      </c>
      <c r="H22" s="19" t="s">
        <v>37</v>
      </c>
      <c r="I22" s="19" t="s">
        <v>38</v>
      </c>
      <c r="J22" s="19" t="s">
        <v>39</v>
      </c>
      <c r="K22" s="22" t="s">
        <v>40</v>
      </c>
      <c r="L22" s="16">
        <v>42978</v>
      </c>
      <c r="M22" s="16">
        <v>42979</v>
      </c>
      <c r="N22" s="22">
        <f>1350.49/2</f>
        <v>675.245</v>
      </c>
      <c r="O22" s="22">
        <f>1350.49/2</f>
        <v>675.245</v>
      </c>
      <c r="P22" s="22">
        <f t="shared" si="0"/>
        <v>1350.49</v>
      </c>
      <c r="Q22" s="19"/>
      <c r="R22" s="22"/>
      <c r="S22" s="18"/>
      <c r="T22" s="15"/>
      <c r="U22" s="24">
        <f t="shared" si="1"/>
        <v>0</v>
      </c>
      <c r="V22" s="22">
        <f t="shared" si="2"/>
        <v>1350.49</v>
      </c>
      <c r="W22" s="22">
        <f t="shared" si="3"/>
        <v>1350.49</v>
      </c>
      <c r="X22" s="18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X16"/>
  <sheetViews>
    <sheetView workbookViewId="0">
      <selection activeCell="D14" sqref="D14:E14"/>
    </sheetView>
  </sheetViews>
  <sheetFormatPr defaultRowHeight="15" customHeight="1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62" t="s">
        <v>0</v>
      </c>
      <c r="W5" s="162"/>
      <c r="X5" s="8">
        <v>43556</v>
      </c>
    </row>
    <row r="6" spans="1:24">
      <c r="A6" s="96" t="s">
        <v>1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</row>
    <row r="7" spans="1:24">
      <c r="A7" s="96" t="s">
        <v>2</v>
      </c>
      <c r="B7" s="96"/>
      <c r="C7" s="96" t="s">
        <v>3</v>
      </c>
      <c r="D7" s="96"/>
      <c r="E7" s="96"/>
      <c r="F7" s="96" t="s">
        <v>4</v>
      </c>
      <c r="G7" s="96"/>
      <c r="H7" s="96"/>
      <c r="I7" s="96"/>
      <c r="J7" s="96"/>
      <c r="K7" s="96"/>
      <c r="L7" s="96"/>
      <c r="M7" s="96"/>
      <c r="N7" s="96" t="s">
        <v>5</v>
      </c>
      <c r="O7" s="96"/>
      <c r="P7" s="96"/>
      <c r="Q7" s="96" t="s">
        <v>6</v>
      </c>
      <c r="R7" s="96"/>
      <c r="S7" s="96"/>
      <c r="T7" s="96"/>
      <c r="U7" s="96"/>
      <c r="V7" s="96"/>
      <c r="W7" s="96" t="s">
        <v>7</v>
      </c>
      <c r="X7" s="96" t="s">
        <v>8</v>
      </c>
    </row>
    <row r="8" spans="1:24" s="9" customFormat="1">
      <c r="A8" s="97" t="s">
        <v>9</v>
      </c>
      <c r="B8" s="97" t="s">
        <v>10</v>
      </c>
      <c r="C8" s="97" t="s">
        <v>11</v>
      </c>
      <c r="D8" s="97" t="s">
        <v>12</v>
      </c>
      <c r="E8" s="97" t="s">
        <v>13</v>
      </c>
      <c r="F8" s="97" t="s">
        <v>14</v>
      </c>
      <c r="G8" s="97" t="s">
        <v>15</v>
      </c>
      <c r="H8" s="97" t="s">
        <v>16</v>
      </c>
      <c r="I8" s="97"/>
      <c r="J8" s="98" t="s">
        <v>17</v>
      </c>
      <c r="K8" s="98"/>
      <c r="L8" s="97" t="s">
        <v>18</v>
      </c>
      <c r="M8" s="97" t="s">
        <v>19</v>
      </c>
      <c r="N8" s="98" t="s">
        <v>20</v>
      </c>
      <c r="O8" s="98" t="s">
        <v>21</v>
      </c>
      <c r="P8" s="98" t="s">
        <v>22</v>
      </c>
      <c r="Q8" s="98" t="s">
        <v>23</v>
      </c>
      <c r="R8" s="98"/>
      <c r="S8" s="98" t="s">
        <v>24</v>
      </c>
      <c r="T8" s="98"/>
      <c r="U8" s="97" t="s">
        <v>25</v>
      </c>
      <c r="V8" s="98" t="s">
        <v>22</v>
      </c>
      <c r="W8" s="96"/>
      <c r="X8" s="96"/>
    </row>
    <row r="9" spans="1:24" s="9" customFormat="1" ht="17.25" customHeight="1">
      <c r="A9" s="97"/>
      <c r="B9" s="97"/>
      <c r="C9" s="97"/>
      <c r="D9" s="97"/>
      <c r="E9" s="97"/>
      <c r="F9" s="97"/>
      <c r="G9" s="97"/>
      <c r="H9" s="10" t="s">
        <v>26</v>
      </c>
      <c r="I9" s="10" t="s">
        <v>27</v>
      </c>
      <c r="J9" s="10" t="s">
        <v>26</v>
      </c>
      <c r="K9" s="11" t="s">
        <v>28</v>
      </c>
      <c r="L9" s="97"/>
      <c r="M9" s="97"/>
      <c r="N9" s="98"/>
      <c r="O9" s="98"/>
      <c r="P9" s="98"/>
      <c r="Q9" s="10" t="s">
        <v>29</v>
      </c>
      <c r="R9" s="11" t="s">
        <v>30</v>
      </c>
      <c r="S9" s="10" t="s">
        <v>29</v>
      </c>
      <c r="T9" s="11" t="s">
        <v>30</v>
      </c>
      <c r="U9" s="97"/>
      <c r="V9" s="98"/>
      <c r="W9" s="96"/>
      <c r="X9" s="96"/>
    </row>
    <row r="10" spans="1:24" ht="25.5">
      <c r="A10" s="34" t="s">
        <v>253</v>
      </c>
      <c r="B10" s="34" t="s">
        <v>253</v>
      </c>
      <c r="C10" s="34" t="s">
        <v>320</v>
      </c>
      <c r="D10" s="56" t="s">
        <v>321</v>
      </c>
      <c r="E10" s="20" t="s">
        <v>343</v>
      </c>
      <c r="F10" s="34" t="s">
        <v>418</v>
      </c>
      <c r="G10" s="34" t="s">
        <v>36</v>
      </c>
      <c r="H10" s="34" t="s">
        <v>37</v>
      </c>
      <c r="I10" s="34" t="s">
        <v>38</v>
      </c>
      <c r="J10" s="34" t="s">
        <v>62</v>
      </c>
      <c r="K10" s="34" t="s">
        <v>63</v>
      </c>
      <c r="L10" s="62">
        <v>43583</v>
      </c>
      <c r="M10" s="62">
        <v>43584</v>
      </c>
      <c r="N10" s="63">
        <f>3836.32/2</f>
        <v>1918.16</v>
      </c>
      <c r="O10" s="63">
        <f>3836.32/2</f>
        <v>1918.16</v>
      </c>
      <c r="P10" s="63">
        <f>SUM(N10:O10)</f>
        <v>3836.32</v>
      </c>
      <c r="Q10" s="34">
        <v>2</v>
      </c>
      <c r="R10" s="63">
        <v>120</v>
      </c>
      <c r="S10" s="34">
        <v>0</v>
      </c>
      <c r="T10" s="63">
        <v>0</v>
      </c>
      <c r="U10" s="63">
        <f>(Q10*R10)+(S10*T10)</f>
        <v>240</v>
      </c>
      <c r="V10" s="63">
        <f>U10+P10</f>
        <v>4076.32</v>
      </c>
      <c r="W10" s="63">
        <f>V10</f>
        <v>4076.32</v>
      </c>
      <c r="X10" s="34"/>
    </row>
    <row r="11" spans="1:24" ht="38.25">
      <c r="A11" s="34" t="s">
        <v>253</v>
      </c>
      <c r="B11" s="34" t="s">
        <v>212</v>
      </c>
      <c r="C11" s="34" t="s">
        <v>387</v>
      </c>
      <c r="D11" s="56" t="s">
        <v>388</v>
      </c>
      <c r="E11" s="20" t="s">
        <v>34</v>
      </c>
      <c r="F11" s="34" t="s">
        <v>419</v>
      </c>
      <c r="G11" s="34" t="s">
        <v>36</v>
      </c>
      <c r="H11" s="34" t="s">
        <v>37</v>
      </c>
      <c r="I11" s="34" t="s">
        <v>38</v>
      </c>
      <c r="J11" s="34" t="s">
        <v>104</v>
      </c>
      <c r="K11" s="34" t="s">
        <v>105</v>
      </c>
      <c r="L11" s="62">
        <v>43562</v>
      </c>
      <c r="M11" s="62">
        <v>43564</v>
      </c>
      <c r="N11" s="63">
        <v>300</v>
      </c>
      <c r="O11" s="63">
        <v>300</v>
      </c>
      <c r="P11" s="63">
        <f t="shared" ref="P11:P16" si="0">SUM(N11:O11)</f>
        <v>600</v>
      </c>
      <c r="Q11" s="34">
        <v>3</v>
      </c>
      <c r="R11" s="63">
        <v>120</v>
      </c>
      <c r="S11" s="34">
        <v>0</v>
      </c>
      <c r="T11" s="63">
        <v>0</v>
      </c>
      <c r="U11" s="63">
        <f t="shared" ref="U11:U16" si="1">(Q11*R11)+(S11*T11)</f>
        <v>360</v>
      </c>
      <c r="V11" s="63">
        <f t="shared" ref="V11:V16" si="2">U11+P11</f>
        <v>960</v>
      </c>
      <c r="W11" s="63">
        <f t="shared" ref="W11:W16" si="3">V11</f>
        <v>960</v>
      </c>
      <c r="X11" s="34"/>
    </row>
    <row r="12" spans="1:24" ht="25.5" customHeight="1">
      <c r="A12" s="34" t="s">
        <v>253</v>
      </c>
      <c r="B12" s="34" t="s">
        <v>253</v>
      </c>
      <c r="C12" s="34" t="s">
        <v>320</v>
      </c>
      <c r="D12" s="56" t="s">
        <v>321</v>
      </c>
      <c r="E12" s="20" t="s">
        <v>343</v>
      </c>
      <c r="F12" s="34" t="s">
        <v>420</v>
      </c>
      <c r="G12" s="34" t="s">
        <v>36</v>
      </c>
      <c r="H12" s="34" t="s">
        <v>37</v>
      </c>
      <c r="I12" s="34" t="s">
        <v>38</v>
      </c>
      <c r="J12" s="34" t="s">
        <v>39</v>
      </c>
      <c r="K12" s="34" t="s">
        <v>40</v>
      </c>
      <c r="L12" s="62">
        <v>43564</v>
      </c>
      <c r="M12" s="62" t="s">
        <v>421</v>
      </c>
      <c r="N12" s="63">
        <f>2329.07/2</f>
        <v>1164.5350000000001</v>
      </c>
      <c r="O12" s="63">
        <f>2329.07/2</f>
        <v>1164.5350000000001</v>
      </c>
      <c r="P12" s="63">
        <f t="shared" si="0"/>
        <v>2329.0700000000002</v>
      </c>
      <c r="Q12" s="34">
        <v>2</v>
      </c>
      <c r="R12" s="63">
        <v>120</v>
      </c>
      <c r="S12" s="34">
        <v>0</v>
      </c>
      <c r="T12" s="63">
        <v>0</v>
      </c>
      <c r="U12" s="63">
        <f t="shared" si="1"/>
        <v>240</v>
      </c>
      <c r="V12" s="63">
        <f t="shared" si="2"/>
        <v>2569.0700000000002</v>
      </c>
      <c r="W12" s="63">
        <f t="shared" si="3"/>
        <v>2569.0700000000002</v>
      </c>
      <c r="X12" s="34"/>
    </row>
    <row r="13" spans="1:24" ht="25.5">
      <c r="A13" s="34" t="s">
        <v>253</v>
      </c>
      <c r="B13" s="34" t="s">
        <v>253</v>
      </c>
      <c r="C13" s="34" t="s">
        <v>223</v>
      </c>
      <c r="D13" s="29" t="s">
        <v>77</v>
      </c>
      <c r="E13" s="20" t="s">
        <v>50</v>
      </c>
      <c r="F13" s="34" t="s">
        <v>420</v>
      </c>
      <c r="G13" s="34" t="s">
        <v>36</v>
      </c>
      <c r="H13" s="34" t="s">
        <v>37</v>
      </c>
      <c r="I13" s="34" t="s">
        <v>38</v>
      </c>
      <c r="J13" s="34" t="s">
        <v>39</v>
      </c>
      <c r="K13" s="34" t="s">
        <v>40</v>
      </c>
      <c r="L13" s="62">
        <v>43564</v>
      </c>
      <c r="M13" s="62" t="s">
        <v>421</v>
      </c>
      <c r="N13" s="63">
        <f>2329.08/2</f>
        <v>1164.54</v>
      </c>
      <c r="O13" s="63">
        <f>2329.08/2</f>
        <v>1164.54</v>
      </c>
      <c r="P13" s="63">
        <f t="shared" si="0"/>
        <v>2329.08</v>
      </c>
      <c r="Q13" s="34">
        <v>0</v>
      </c>
      <c r="R13" s="63">
        <v>0</v>
      </c>
      <c r="S13" s="34">
        <v>0</v>
      </c>
      <c r="T13" s="63">
        <v>0</v>
      </c>
      <c r="U13" s="63">
        <f t="shared" si="1"/>
        <v>0</v>
      </c>
      <c r="V13" s="63">
        <f t="shared" si="2"/>
        <v>2329.08</v>
      </c>
      <c r="W13" s="63">
        <f t="shared" si="3"/>
        <v>2329.08</v>
      </c>
      <c r="X13" s="34"/>
    </row>
    <row r="14" spans="1:24" ht="25.5">
      <c r="A14" s="34" t="s">
        <v>371</v>
      </c>
      <c r="B14" s="34" t="s">
        <v>396</v>
      </c>
      <c r="C14" s="34" t="s">
        <v>267</v>
      </c>
      <c r="D14" s="29" t="s">
        <v>145</v>
      </c>
      <c r="E14" s="20" t="s">
        <v>399</v>
      </c>
      <c r="F14" s="34" t="s">
        <v>422</v>
      </c>
      <c r="G14" s="34" t="s">
        <v>36</v>
      </c>
      <c r="H14" s="34" t="s">
        <v>37</v>
      </c>
      <c r="I14" s="34" t="s">
        <v>38</v>
      </c>
      <c r="J14" s="34" t="s">
        <v>109</v>
      </c>
      <c r="K14" s="34" t="s">
        <v>110</v>
      </c>
      <c r="L14" s="62">
        <v>43578</v>
      </c>
      <c r="M14" s="62">
        <v>43581</v>
      </c>
      <c r="N14" s="63">
        <f>719.06/2</f>
        <v>359.53</v>
      </c>
      <c r="O14" s="63">
        <f>719.06/2</f>
        <v>359.53</v>
      </c>
      <c r="P14" s="63">
        <f t="shared" si="0"/>
        <v>719.06</v>
      </c>
      <c r="Q14" s="34">
        <v>4</v>
      </c>
      <c r="R14" s="63">
        <v>120</v>
      </c>
      <c r="S14" s="34">
        <v>0</v>
      </c>
      <c r="T14" s="63">
        <v>0</v>
      </c>
      <c r="U14" s="63">
        <f t="shared" si="1"/>
        <v>480</v>
      </c>
      <c r="V14" s="63">
        <f t="shared" si="2"/>
        <v>1199.06</v>
      </c>
      <c r="W14" s="63">
        <f t="shared" si="3"/>
        <v>1199.06</v>
      </c>
      <c r="X14" s="34"/>
    </row>
    <row r="15" spans="1:24" ht="25.5">
      <c r="A15" s="34" t="s">
        <v>371</v>
      </c>
      <c r="B15" s="34" t="s">
        <v>371</v>
      </c>
      <c r="C15" s="34" t="s">
        <v>137</v>
      </c>
      <c r="D15" s="29" t="s">
        <v>138</v>
      </c>
      <c r="E15" s="20" t="s">
        <v>343</v>
      </c>
      <c r="F15" s="34" t="s">
        <v>423</v>
      </c>
      <c r="G15" s="34" t="s">
        <v>36</v>
      </c>
      <c r="H15" s="34" t="s">
        <v>37</v>
      </c>
      <c r="I15" s="34" t="s">
        <v>38</v>
      </c>
      <c r="J15" s="34" t="s">
        <v>39</v>
      </c>
      <c r="K15" s="34" t="s">
        <v>40</v>
      </c>
      <c r="L15" s="62">
        <v>43579</v>
      </c>
      <c r="M15" s="62">
        <v>43580</v>
      </c>
      <c r="N15" s="63">
        <f>2110.22/2</f>
        <v>1055.1099999999999</v>
      </c>
      <c r="O15" s="63">
        <f>2110.22/2</f>
        <v>1055.1099999999999</v>
      </c>
      <c r="P15" s="63">
        <f t="shared" si="0"/>
        <v>2110.2199999999998</v>
      </c>
      <c r="Q15" s="34">
        <v>4</v>
      </c>
      <c r="R15" s="63">
        <v>120</v>
      </c>
      <c r="S15" s="34">
        <v>0</v>
      </c>
      <c r="T15" s="63">
        <v>0</v>
      </c>
      <c r="U15" s="63">
        <f t="shared" si="1"/>
        <v>480</v>
      </c>
      <c r="V15" s="63">
        <f t="shared" si="2"/>
        <v>2590.2199999999998</v>
      </c>
      <c r="W15" s="63">
        <f t="shared" si="3"/>
        <v>2590.2199999999998</v>
      </c>
      <c r="X15" s="34"/>
    </row>
    <row r="16" spans="1:24" ht="25.5">
      <c r="A16" s="34" t="s">
        <v>253</v>
      </c>
      <c r="B16" s="34" t="s">
        <v>253</v>
      </c>
      <c r="C16" s="34" t="s">
        <v>320</v>
      </c>
      <c r="D16" s="56" t="s">
        <v>321</v>
      </c>
      <c r="E16" s="20" t="s">
        <v>343</v>
      </c>
      <c r="F16" s="34" t="s">
        <v>418</v>
      </c>
      <c r="G16" s="34" t="s">
        <v>36</v>
      </c>
      <c r="H16" s="34" t="s">
        <v>37</v>
      </c>
      <c r="I16" s="34" t="s">
        <v>38</v>
      </c>
      <c r="J16" s="34" t="s">
        <v>424</v>
      </c>
      <c r="K16" s="34" t="s">
        <v>425</v>
      </c>
      <c r="L16" s="62">
        <v>43583</v>
      </c>
      <c r="M16" s="62">
        <v>43584</v>
      </c>
      <c r="N16" s="63">
        <f>3836.32/2</f>
        <v>1918.16</v>
      </c>
      <c r="O16" s="63">
        <f>3836.32/2</f>
        <v>1918.16</v>
      </c>
      <c r="P16" s="63">
        <f t="shared" si="0"/>
        <v>3836.32</v>
      </c>
      <c r="Q16" s="34">
        <v>2</v>
      </c>
      <c r="R16" s="63">
        <v>120</v>
      </c>
      <c r="S16" s="34">
        <v>0</v>
      </c>
      <c r="T16" s="63">
        <v>0</v>
      </c>
      <c r="U16" s="63">
        <f t="shared" si="1"/>
        <v>240</v>
      </c>
      <c r="V16" s="63">
        <f t="shared" si="2"/>
        <v>4076.32</v>
      </c>
      <c r="W16" s="63">
        <f t="shared" si="3"/>
        <v>4076.32</v>
      </c>
      <c r="X16" s="3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X22"/>
  <sheetViews>
    <sheetView workbookViewId="0">
      <selection activeCell="D11" sqref="D11:E11"/>
    </sheetView>
  </sheetViews>
  <sheetFormatPr defaultRowHeight="15" customHeight="1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62" t="s">
        <v>0</v>
      </c>
      <c r="W5" s="162"/>
      <c r="X5" s="8">
        <v>43586</v>
      </c>
    </row>
    <row r="6" spans="1:24">
      <c r="A6" s="96" t="s">
        <v>1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</row>
    <row r="7" spans="1:24">
      <c r="A7" s="96" t="s">
        <v>2</v>
      </c>
      <c r="B7" s="96"/>
      <c r="C7" s="96" t="s">
        <v>3</v>
      </c>
      <c r="D7" s="96"/>
      <c r="E7" s="96"/>
      <c r="F7" s="96" t="s">
        <v>4</v>
      </c>
      <c r="G7" s="96"/>
      <c r="H7" s="96"/>
      <c r="I7" s="96"/>
      <c r="J7" s="96"/>
      <c r="K7" s="96"/>
      <c r="L7" s="96"/>
      <c r="M7" s="96"/>
      <c r="N7" s="96" t="s">
        <v>5</v>
      </c>
      <c r="O7" s="96"/>
      <c r="P7" s="96"/>
      <c r="Q7" s="96" t="s">
        <v>6</v>
      </c>
      <c r="R7" s="96"/>
      <c r="S7" s="96"/>
      <c r="T7" s="96"/>
      <c r="U7" s="96"/>
      <c r="V7" s="96"/>
      <c r="W7" s="96" t="s">
        <v>7</v>
      </c>
      <c r="X7" s="96" t="s">
        <v>8</v>
      </c>
    </row>
    <row r="8" spans="1:24" s="9" customFormat="1">
      <c r="A8" s="97" t="s">
        <v>9</v>
      </c>
      <c r="B8" s="97" t="s">
        <v>10</v>
      </c>
      <c r="C8" s="97" t="s">
        <v>11</v>
      </c>
      <c r="D8" s="97" t="s">
        <v>12</v>
      </c>
      <c r="E8" s="97" t="s">
        <v>13</v>
      </c>
      <c r="F8" s="97" t="s">
        <v>14</v>
      </c>
      <c r="G8" s="97" t="s">
        <v>15</v>
      </c>
      <c r="H8" s="97" t="s">
        <v>16</v>
      </c>
      <c r="I8" s="97"/>
      <c r="J8" s="98" t="s">
        <v>17</v>
      </c>
      <c r="K8" s="98"/>
      <c r="L8" s="97" t="s">
        <v>18</v>
      </c>
      <c r="M8" s="97" t="s">
        <v>19</v>
      </c>
      <c r="N8" s="98" t="s">
        <v>20</v>
      </c>
      <c r="O8" s="98" t="s">
        <v>21</v>
      </c>
      <c r="P8" s="98" t="s">
        <v>22</v>
      </c>
      <c r="Q8" s="98" t="s">
        <v>23</v>
      </c>
      <c r="R8" s="98"/>
      <c r="S8" s="98" t="s">
        <v>24</v>
      </c>
      <c r="T8" s="98"/>
      <c r="U8" s="97" t="s">
        <v>25</v>
      </c>
      <c r="V8" s="98" t="s">
        <v>22</v>
      </c>
      <c r="W8" s="96"/>
      <c r="X8" s="96"/>
    </row>
    <row r="9" spans="1:24" s="9" customFormat="1" ht="17.25" customHeight="1">
      <c r="A9" s="97"/>
      <c r="B9" s="97"/>
      <c r="C9" s="97"/>
      <c r="D9" s="97"/>
      <c r="E9" s="97"/>
      <c r="F9" s="97"/>
      <c r="G9" s="97"/>
      <c r="H9" s="10" t="s">
        <v>26</v>
      </c>
      <c r="I9" s="10" t="s">
        <v>27</v>
      </c>
      <c r="J9" s="10" t="s">
        <v>26</v>
      </c>
      <c r="K9" s="11" t="s">
        <v>28</v>
      </c>
      <c r="L9" s="97"/>
      <c r="M9" s="97"/>
      <c r="N9" s="98"/>
      <c r="O9" s="98"/>
      <c r="P9" s="98"/>
      <c r="Q9" s="10" t="s">
        <v>29</v>
      </c>
      <c r="R9" s="11" t="s">
        <v>30</v>
      </c>
      <c r="S9" s="10" t="s">
        <v>29</v>
      </c>
      <c r="T9" s="11" t="s">
        <v>30</v>
      </c>
      <c r="U9" s="97"/>
      <c r="V9" s="98"/>
      <c r="W9" s="96"/>
      <c r="X9" s="96"/>
    </row>
    <row r="10" spans="1:24" ht="25.5">
      <c r="A10" s="34" t="s">
        <v>231</v>
      </c>
      <c r="B10" s="34" t="s">
        <v>221</v>
      </c>
      <c r="C10" s="34" t="s">
        <v>54</v>
      </c>
      <c r="D10" s="29" t="s">
        <v>88</v>
      </c>
      <c r="E10" s="20" t="s">
        <v>55</v>
      </c>
      <c r="F10" s="34" t="s">
        <v>426</v>
      </c>
      <c r="G10" s="34" t="s">
        <v>36</v>
      </c>
      <c r="H10" s="34" t="s">
        <v>37</v>
      </c>
      <c r="I10" s="34" t="s">
        <v>38</v>
      </c>
      <c r="J10" s="34" t="s">
        <v>424</v>
      </c>
      <c r="K10" s="34" t="s">
        <v>427</v>
      </c>
      <c r="L10" s="62">
        <v>43611</v>
      </c>
      <c r="M10" s="62">
        <v>43614</v>
      </c>
      <c r="N10" s="63">
        <f>2265.52/2</f>
        <v>1132.76</v>
      </c>
      <c r="O10" s="63">
        <f>2265.52/2</f>
        <v>1132.76</v>
      </c>
      <c r="P10" s="63">
        <f>SUM(N10:O10)</f>
        <v>2265.52</v>
      </c>
      <c r="Q10" s="34">
        <v>8</v>
      </c>
      <c r="R10" s="63">
        <v>120</v>
      </c>
      <c r="S10" s="34">
        <v>0</v>
      </c>
      <c r="T10" s="63">
        <v>0</v>
      </c>
      <c r="U10" s="63">
        <f>(Q10*R10)+(S10*T10)</f>
        <v>960</v>
      </c>
      <c r="V10" s="63">
        <f>U10+P10</f>
        <v>3225.52</v>
      </c>
      <c r="W10" s="63">
        <f>V10</f>
        <v>3225.52</v>
      </c>
      <c r="X10" s="34"/>
    </row>
    <row r="11" spans="1:24" ht="25.5">
      <c r="A11" s="34" t="s">
        <v>231</v>
      </c>
      <c r="B11" s="34" t="s">
        <v>215</v>
      </c>
      <c r="C11" s="34" t="s">
        <v>58</v>
      </c>
      <c r="D11" s="56" t="s">
        <v>59</v>
      </c>
      <c r="E11" s="20" t="s">
        <v>428</v>
      </c>
      <c r="F11" s="34" t="s">
        <v>429</v>
      </c>
      <c r="G11" s="34" t="s">
        <v>36</v>
      </c>
      <c r="H11" s="34" t="s">
        <v>37</v>
      </c>
      <c r="I11" s="34" t="s">
        <v>38</v>
      </c>
      <c r="J11" s="34" t="s">
        <v>62</v>
      </c>
      <c r="K11" s="34" t="s">
        <v>63</v>
      </c>
      <c r="L11" s="62">
        <v>43591</v>
      </c>
      <c r="M11" s="62">
        <v>43592</v>
      </c>
      <c r="N11" s="63">
        <f>2280.83/2</f>
        <v>1140.415</v>
      </c>
      <c r="O11" s="63">
        <f>2280.83/2</f>
        <v>1140.415</v>
      </c>
      <c r="P11" s="63">
        <f t="shared" ref="P11:P22" si="0">SUM(N11:O11)</f>
        <v>2280.83</v>
      </c>
      <c r="Q11" s="34">
        <v>4</v>
      </c>
      <c r="R11" s="63">
        <v>120</v>
      </c>
      <c r="S11" s="34">
        <v>0</v>
      </c>
      <c r="T11" s="63">
        <v>0</v>
      </c>
      <c r="U11" s="63">
        <f t="shared" ref="U11:U22" si="1">(Q11*R11)+(S11*T11)</f>
        <v>480</v>
      </c>
      <c r="V11" s="63">
        <f t="shared" ref="V11:V22" si="2">U11+P11</f>
        <v>2760.83</v>
      </c>
      <c r="W11" s="63">
        <f t="shared" ref="W11:W22" si="3">V11</f>
        <v>2760.83</v>
      </c>
      <c r="X11" s="34"/>
    </row>
    <row r="12" spans="1:24" ht="25.5" customHeight="1">
      <c r="A12" s="34" t="s">
        <v>253</v>
      </c>
      <c r="B12" s="34" t="s">
        <v>253</v>
      </c>
      <c r="C12" s="34" t="s">
        <v>223</v>
      </c>
      <c r="D12" s="29" t="s">
        <v>77</v>
      </c>
      <c r="E12" s="20" t="s">
        <v>50</v>
      </c>
      <c r="F12" s="34" t="s">
        <v>430</v>
      </c>
      <c r="G12" s="34" t="s">
        <v>36</v>
      </c>
      <c r="H12" s="34" t="s">
        <v>37</v>
      </c>
      <c r="I12" s="34" t="s">
        <v>38</v>
      </c>
      <c r="J12" s="34" t="s">
        <v>39</v>
      </c>
      <c r="K12" s="34" t="s">
        <v>40</v>
      </c>
      <c r="L12" s="62">
        <v>43591</v>
      </c>
      <c r="M12" s="62">
        <v>43591</v>
      </c>
      <c r="N12" s="63">
        <f>2151.98/2</f>
        <v>1075.99</v>
      </c>
      <c r="O12" s="63">
        <f>2151.98/2</f>
        <v>1075.99</v>
      </c>
      <c r="P12" s="63">
        <f t="shared" si="0"/>
        <v>2151.98</v>
      </c>
      <c r="Q12" s="34">
        <v>0</v>
      </c>
      <c r="R12" s="63">
        <v>0</v>
      </c>
      <c r="S12" s="34">
        <v>0</v>
      </c>
      <c r="T12" s="63">
        <v>0</v>
      </c>
      <c r="U12" s="63">
        <f t="shared" si="1"/>
        <v>0</v>
      </c>
      <c r="V12" s="63">
        <f t="shared" si="2"/>
        <v>2151.98</v>
      </c>
      <c r="W12" s="63">
        <f t="shared" si="3"/>
        <v>2151.98</v>
      </c>
      <c r="X12" s="34"/>
    </row>
    <row r="13" spans="1:24" ht="25.5">
      <c r="A13" s="34" t="s">
        <v>253</v>
      </c>
      <c r="B13" s="34" t="s">
        <v>253</v>
      </c>
      <c r="C13" s="34" t="s">
        <v>320</v>
      </c>
      <c r="D13" s="56" t="s">
        <v>321</v>
      </c>
      <c r="E13" s="20" t="s">
        <v>343</v>
      </c>
      <c r="F13" s="34" t="s">
        <v>430</v>
      </c>
      <c r="G13" s="34" t="s">
        <v>36</v>
      </c>
      <c r="H13" s="34" t="s">
        <v>37</v>
      </c>
      <c r="I13" s="34" t="s">
        <v>38</v>
      </c>
      <c r="J13" s="34" t="s">
        <v>62</v>
      </c>
      <c r="K13" s="34" t="s">
        <v>63</v>
      </c>
      <c r="L13" s="62">
        <v>43588</v>
      </c>
      <c r="M13" s="62">
        <v>43591</v>
      </c>
      <c r="N13" s="63">
        <f>2215.78/2</f>
        <v>1107.8900000000001</v>
      </c>
      <c r="O13" s="63">
        <f>2215.78/2</f>
        <v>1107.8900000000001</v>
      </c>
      <c r="P13" s="63">
        <f t="shared" si="0"/>
        <v>2215.7800000000002</v>
      </c>
      <c r="Q13" s="34">
        <v>1</v>
      </c>
      <c r="R13" s="63">
        <v>120</v>
      </c>
      <c r="S13" s="34">
        <v>0</v>
      </c>
      <c r="T13" s="63">
        <v>0</v>
      </c>
      <c r="U13" s="63">
        <f t="shared" si="1"/>
        <v>120</v>
      </c>
      <c r="V13" s="63">
        <f t="shared" si="2"/>
        <v>2335.7800000000002</v>
      </c>
      <c r="W13" s="63">
        <f t="shared" si="3"/>
        <v>2335.7800000000002</v>
      </c>
      <c r="X13" s="34"/>
    </row>
    <row r="14" spans="1:24" ht="26.25" customHeight="1">
      <c r="A14" s="34" t="s">
        <v>231</v>
      </c>
      <c r="B14" s="34" t="s">
        <v>229</v>
      </c>
      <c r="C14" s="34" t="s">
        <v>246</v>
      </c>
      <c r="D14" s="29" t="s">
        <v>247</v>
      </c>
      <c r="E14" s="20" t="s">
        <v>341</v>
      </c>
      <c r="F14" s="34" t="s">
        <v>431</v>
      </c>
      <c r="G14" s="34" t="s">
        <v>36</v>
      </c>
      <c r="H14" s="34" t="s">
        <v>37</v>
      </c>
      <c r="I14" s="34" t="s">
        <v>38</v>
      </c>
      <c r="J14" s="34" t="s">
        <v>409</v>
      </c>
      <c r="K14" s="34" t="s">
        <v>410</v>
      </c>
      <c r="L14" s="62">
        <v>43605</v>
      </c>
      <c r="M14" s="62" t="s">
        <v>432</v>
      </c>
      <c r="N14" s="63">
        <f>3074.44/2</f>
        <v>1537.22</v>
      </c>
      <c r="O14" s="63">
        <f>3074.44/2</f>
        <v>1537.22</v>
      </c>
      <c r="P14" s="63">
        <f t="shared" si="0"/>
        <v>3074.44</v>
      </c>
      <c r="Q14" s="34">
        <v>0</v>
      </c>
      <c r="R14" s="63">
        <v>0</v>
      </c>
      <c r="S14" s="34">
        <v>0</v>
      </c>
      <c r="T14" s="63">
        <v>0</v>
      </c>
      <c r="U14" s="63">
        <f t="shared" si="1"/>
        <v>0</v>
      </c>
      <c r="V14" s="63">
        <f t="shared" si="2"/>
        <v>3074.44</v>
      </c>
      <c r="W14" s="63">
        <f t="shared" si="3"/>
        <v>3074.44</v>
      </c>
      <c r="X14" s="34"/>
    </row>
    <row r="15" spans="1:24" ht="51">
      <c r="A15" s="34" t="s">
        <v>253</v>
      </c>
      <c r="B15" s="34" t="s">
        <v>259</v>
      </c>
      <c r="C15" s="34" t="s">
        <v>433</v>
      </c>
      <c r="D15" s="29" t="s">
        <v>434</v>
      </c>
      <c r="E15" s="20" t="s">
        <v>435</v>
      </c>
      <c r="F15" s="34" t="s">
        <v>436</v>
      </c>
      <c r="G15" s="34" t="s">
        <v>36</v>
      </c>
      <c r="H15" s="34" t="s">
        <v>37</v>
      </c>
      <c r="I15" s="34" t="s">
        <v>38</v>
      </c>
      <c r="J15" s="34" t="s">
        <v>39</v>
      </c>
      <c r="K15" s="34" t="s">
        <v>40</v>
      </c>
      <c r="L15" s="62">
        <v>43606</v>
      </c>
      <c r="M15" s="62">
        <v>43608</v>
      </c>
      <c r="N15" s="63">
        <f>2076.08/2</f>
        <v>1038.04</v>
      </c>
      <c r="O15" s="63">
        <f>2076.08/2</f>
        <v>1038.04</v>
      </c>
      <c r="P15" s="63">
        <f t="shared" si="0"/>
        <v>2076.08</v>
      </c>
      <c r="Q15" s="34">
        <v>3</v>
      </c>
      <c r="R15" s="63">
        <v>120</v>
      </c>
      <c r="S15" s="34">
        <v>0</v>
      </c>
      <c r="T15" s="63">
        <v>0</v>
      </c>
      <c r="U15" s="63">
        <f t="shared" si="1"/>
        <v>360</v>
      </c>
      <c r="V15" s="63">
        <f t="shared" si="2"/>
        <v>2436.08</v>
      </c>
      <c r="W15" s="63">
        <f t="shared" si="3"/>
        <v>2436.08</v>
      </c>
      <c r="X15" s="34"/>
    </row>
    <row r="16" spans="1:24" ht="38.25">
      <c r="A16" s="34" t="s">
        <v>371</v>
      </c>
      <c r="B16" s="34" t="s">
        <v>371</v>
      </c>
      <c r="C16" s="34" t="s">
        <v>79</v>
      </c>
      <c r="D16" s="29" t="s">
        <v>77</v>
      </c>
      <c r="E16" s="20" t="s">
        <v>80</v>
      </c>
      <c r="F16" s="34" t="s">
        <v>437</v>
      </c>
      <c r="G16" s="34" t="s">
        <v>36</v>
      </c>
      <c r="H16" s="34" t="s">
        <v>37</v>
      </c>
      <c r="I16" s="34" t="s">
        <v>38</v>
      </c>
      <c r="J16" s="34" t="s">
        <v>39</v>
      </c>
      <c r="K16" s="34" t="s">
        <v>40</v>
      </c>
      <c r="L16" s="62">
        <v>43601</v>
      </c>
      <c r="M16" s="62">
        <v>43602</v>
      </c>
      <c r="N16" s="63">
        <f>2186.59/2</f>
        <v>1093.2950000000001</v>
      </c>
      <c r="O16" s="63">
        <f>2186.59/2</f>
        <v>1093.2950000000001</v>
      </c>
      <c r="P16" s="63">
        <f t="shared" si="0"/>
        <v>2186.59</v>
      </c>
      <c r="Q16" s="34">
        <v>0</v>
      </c>
      <c r="R16" s="63">
        <v>0</v>
      </c>
      <c r="S16" s="34">
        <v>0</v>
      </c>
      <c r="T16" s="63">
        <v>0</v>
      </c>
      <c r="U16" s="63">
        <f t="shared" si="1"/>
        <v>0</v>
      </c>
      <c r="V16" s="63">
        <f t="shared" si="2"/>
        <v>2186.59</v>
      </c>
      <c r="W16" s="63">
        <f t="shared" si="3"/>
        <v>2186.59</v>
      </c>
      <c r="X16" s="34"/>
    </row>
    <row r="17" spans="1:24" ht="25.5">
      <c r="A17" s="34" t="s">
        <v>253</v>
      </c>
      <c r="B17" s="34" t="s">
        <v>253</v>
      </c>
      <c r="C17" s="34" t="s">
        <v>223</v>
      </c>
      <c r="D17" s="29" t="s">
        <v>77</v>
      </c>
      <c r="E17" s="20" t="s">
        <v>50</v>
      </c>
      <c r="F17" s="34" t="s">
        <v>438</v>
      </c>
      <c r="G17" s="34" t="s">
        <v>36</v>
      </c>
      <c r="H17" s="34" t="s">
        <v>37</v>
      </c>
      <c r="I17" s="34" t="s">
        <v>38</v>
      </c>
      <c r="J17" s="34" t="s">
        <v>104</v>
      </c>
      <c r="K17" s="34" t="s">
        <v>105</v>
      </c>
      <c r="L17" s="62">
        <v>43601</v>
      </c>
      <c r="M17" s="62">
        <v>43603</v>
      </c>
      <c r="N17" s="63">
        <f>2670.36/2</f>
        <v>1335.18</v>
      </c>
      <c r="O17" s="63">
        <f>2670.36/2</f>
        <v>1335.18</v>
      </c>
      <c r="P17" s="63">
        <f t="shared" si="0"/>
        <v>2670.36</v>
      </c>
      <c r="Q17" s="34">
        <v>0</v>
      </c>
      <c r="R17" s="63">
        <v>0</v>
      </c>
      <c r="S17" s="34">
        <v>0</v>
      </c>
      <c r="T17" s="63">
        <v>0</v>
      </c>
      <c r="U17" s="63">
        <f t="shared" si="1"/>
        <v>0</v>
      </c>
      <c r="V17" s="63">
        <f t="shared" si="2"/>
        <v>2670.36</v>
      </c>
      <c r="W17" s="63">
        <f t="shared" si="3"/>
        <v>2670.36</v>
      </c>
      <c r="X17" s="34"/>
    </row>
    <row r="18" spans="1:24" ht="25.5">
      <c r="A18" s="34" t="s">
        <v>231</v>
      </c>
      <c r="B18" s="34" t="s">
        <v>310</v>
      </c>
      <c r="C18" s="34" t="s">
        <v>439</v>
      </c>
      <c r="D18" s="56" t="s">
        <v>440</v>
      </c>
      <c r="E18" s="20" t="s">
        <v>441</v>
      </c>
      <c r="F18" s="34" t="s">
        <v>442</v>
      </c>
      <c r="G18" s="34" t="s">
        <v>36</v>
      </c>
      <c r="H18" s="34" t="s">
        <v>37</v>
      </c>
      <c r="I18" s="34" t="s">
        <v>38</v>
      </c>
      <c r="J18" s="34" t="s">
        <v>424</v>
      </c>
      <c r="K18" s="34" t="s">
        <v>427</v>
      </c>
      <c r="L18" s="62">
        <v>43611</v>
      </c>
      <c r="M18" s="62">
        <v>43613</v>
      </c>
      <c r="N18" s="63">
        <f>2291.13/2</f>
        <v>1145.5650000000001</v>
      </c>
      <c r="O18" s="63">
        <f>2291.13/2</f>
        <v>1145.5650000000001</v>
      </c>
      <c r="P18" s="63">
        <f t="shared" si="0"/>
        <v>2291.13</v>
      </c>
      <c r="Q18" s="34">
        <v>3</v>
      </c>
      <c r="R18" s="63">
        <v>120</v>
      </c>
      <c r="S18" s="34">
        <v>0</v>
      </c>
      <c r="T18" s="63">
        <v>0</v>
      </c>
      <c r="U18" s="63">
        <f t="shared" si="1"/>
        <v>360</v>
      </c>
      <c r="V18" s="63">
        <f t="shared" si="2"/>
        <v>2651.13</v>
      </c>
      <c r="W18" s="63">
        <f t="shared" si="3"/>
        <v>2651.13</v>
      </c>
      <c r="X18" s="34"/>
    </row>
    <row r="19" spans="1:24" ht="25.5">
      <c r="A19" s="34" t="s">
        <v>231</v>
      </c>
      <c r="B19" s="34" t="s">
        <v>310</v>
      </c>
      <c r="C19" s="34" t="s">
        <v>443</v>
      </c>
      <c r="D19" s="56" t="s">
        <v>444</v>
      </c>
      <c r="E19" s="20" t="s">
        <v>441</v>
      </c>
      <c r="F19" s="34" t="s">
        <v>442</v>
      </c>
      <c r="G19" s="34" t="s">
        <v>36</v>
      </c>
      <c r="H19" s="34" t="s">
        <v>37</v>
      </c>
      <c r="I19" s="34" t="s">
        <v>38</v>
      </c>
      <c r="J19" s="34" t="s">
        <v>424</v>
      </c>
      <c r="K19" s="34" t="s">
        <v>427</v>
      </c>
      <c r="L19" s="62">
        <v>43611</v>
      </c>
      <c r="M19" s="62">
        <v>43613</v>
      </c>
      <c r="N19" s="63">
        <f>2291.13/2</f>
        <v>1145.5650000000001</v>
      </c>
      <c r="O19" s="63">
        <f>2291.13/2</f>
        <v>1145.5650000000001</v>
      </c>
      <c r="P19" s="63">
        <f t="shared" si="0"/>
        <v>2291.13</v>
      </c>
      <c r="Q19" s="34">
        <v>3</v>
      </c>
      <c r="R19" s="63">
        <v>120</v>
      </c>
      <c r="S19" s="34">
        <v>0</v>
      </c>
      <c r="T19" s="63">
        <v>0</v>
      </c>
      <c r="U19" s="63">
        <f t="shared" si="1"/>
        <v>360</v>
      </c>
      <c r="V19" s="63">
        <f t="shared" si="2"/>
        <v>2651.13</v>
      </c>
      <c r="W19" s="63">
        <f t="shared" si="3"/>
        <v>2651.13</v>
      </c>
      <c r="X19" s="34"/>
    </row>
    <row r="20" spans="1:24" ht="25.5">
      <c r="A20" s="34" t="s">
        <v>253</v>
      </c>
      <c r="B20" s="34" t="s">
        <v>288</v>
      </c>
      <c r="C20" s="34" t="s">
        <v>378</v>
      </c>
      <c r="D20" s="29" t="s">
        <v>379</v>
      </c>
      <c r="E20" s="20" t="s">
        <v>380</v>
      </c>
      <c r="F20" s="34" t="s">
        <v>445</v>
      </c>
      <c r="G20" s="34" t="s">
        <v>36</v>
      </c>
      <c r="H20" s="34" t="s">
        <v>37</v>
      </c>
      <c r="I20" s="34" t="s">
        <v>38</v>
      </c>
      <c r="J20" s="34" t="s">
        <v>62</v>
      </c>
      <c r="K20" s="34" t="s">
        <v>63</v>
      </c>
      <c r="L20" s="62">
        <v>43597</v>
      </c>
      <c r="M20" s="62">
        <v>43600</v>
      </c>
      <c r="N20" s="63">
        <f>2110.77/2</f>
        <v>1055.385</v>
      </c>
      <c r="O20" s="63">
        <f>2110.77/2</f>
        <v>1055.385</v>
      </c>
      <c r="P20" s="63">
        <f t="shared" si="0"/>
        <v>2110.77</v>
      </c>
      <c r="Q20" s="34">
        <v>3</v>
      </c>
      <c r="R20" s="63">
        <v>120</v>
      </c>
      <c r="S20" s="34">
        <v>0</v>
      </c>
      <c r="T20" s="63">
        <v>0</v>
      </c>
      <c r="U20" s="63">
        <f t="shared" si="1"/>
        <v>360</v>
      </c>
      <c r="V20" s="63">
        <f t="shared" si="2"/>
        <v>2470.77</v>
      </c>
      <c r="W20" s="63">
        <f t="shared" si="3"/>
        <v>2470.77</v>
      </c>
      <c r="X20" s="34"/>
    </row>
    <row r="21" spans="1:24" ht="38.25">
      <c r="A21" s="34" t="s">
        <v>371</v>
      </c>
      <c r="B21" s="34" t="s">
        <v>273</v>
      </c>
      <c r="C21" s="34" t="s">
        <v>195</v>
      </c>
      <c r="D21" s="29" t="s">
        <v>196</v>
      </c>
      <c r="E21" s="20" t="s">
        <v>197</v>
      </c>
      <c r="F21" s="34" t="s">
        <v>446</v>
      </c>
      <c r="G21" s="34" t="s">
        <v>36</v>
      </c>
      <c r="H21" s="34" t="s">
        <v>37</v>
      </c>
      <c r="I21" s="34" t="s">
        <v>38</v>
      </c>
      <c r="J21" s="34" t="s">
        <v>334</v>
      </c>
      <c r="K21" s="34" t="s">
        <v>117</v>
      </c>
      <c r="L21" s="62">
        <v>43600</v>
      </c>
      <c r="M21" s="62">
        <v>43602</v>
      </c>
      <c r="N21" s="63">
        <f>928.38/2</f>
        <v>464.19</v>
      </c>
      <c r="O21" s="63">
        <f>928.38/2</f>
        <v>464.19</v>
      </c>
      <c r="P21" s="63">
        <f t="shared" si="0"/>
        <v>928.38</v>
      </c>
      <c r="Q21" s="34">
        <v>6</v>
      </c>
      <c r="R21" s="63">
        <v>120</v>
      </c>
      <c r="S21" s="34">
        <v>0</v>
      </c>
      <c r="T21" s="63">
        <v>0</v>
      </c>
      <c r="U21" s="63">
        <f t="shared" si="1"/>
        <v>720</v>
      </c>
      <c r="V21" s="63">
        <f t="shared" si="2"/>
        <v>1648.38</v>
      </c>
      <c r="W21" s="63">
        <f t="shared" si="3"/>
        <v>1648.38</v>
      </c>
      <c r="X21" s="34"/>
    </row>
    <row r="22" spans="1:24" ht="25.5">
      <c r="A22" s="34" t="s">
        <v>253</v>
      </c>
      <c r="B22" s="34" t="s">
        <v>212</v>
      </c>
      <c r="C22" s="34" t="s">
        <v>387</v>
      </c>
      <c r="D22" s="56" t="s">
        <v>388</v>
      </c>
      <c r="E22" s="20" t="s">
        <v>34</v>
      </c>
      <c r="F22" s="34" t="s">
        <v>429</v>
      </c>
      <c r="G22" s="34" t="s">
        <v>36</v>
      </c>
      <c r="H22" s="34" t="s">
        <v>37</v>
      </c>
      <c r="I22" s="34" t="s">
        <v>38</v>
      </c>
      <c r="J22" s="34" t="s">
        <v>62</v>
      </c>
      <c r="K22" s="34" t="s">
        <v>63</v>
      </c>
      <c r="L22" s="62">
        <v>43588</v>
      </c>
      <c r="M22" s="62">
        <v>43591</v>
      </c>
      <c r="N22" s="63">
        <f>2215.77/2</f>
        <v>1107.885</v>
      </c>
      <c r="O22" s="63">
        <f>2215.77/2</f>
        <v>1107.885</v>
      </c>
      <c r="P22" s="63">
        <f t="shared" si="0"/>
        <v>2215.77</v>
      </c>
      <c r="Q22" s="34">
        <v>1</v>
      </c>
      <c r="R22" s="63">
        <v>120</v>
      </c>
      <c r="S22" s="34">
        <v>0</v>
      </c>
      <c r="T22" s="63">
        <v>0</v>
      </c>
      <c r="U22" s="63">
        <f t="shared" si="1"/>
        <v>120</v>
      </c>
      <c r="V22" s="63">
        <f t="shared" si="2"/>
        <v>2335.77</v>
      </c>
      <c r="W22" s="63">
        <f t="shared" si="3"/>
        <v>2335.77</v>
      </c>
      <c r="X22" s="3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X29"/>
  <sheetViews>
    <sheetView topLeftCell="A6" workbookViewId="0">
      <selection activeCell="C14" sqref="C14"/>
    </sheetView>
  </sheetViews>
  <sheetFormatPr defaultRowHeight="15" customHeight="1"/>
  <cols>
    <col min="1" max="1" width="35.875" customWidth="1"/>
    <col min="2" max="2" width="34.2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4.37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hidden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hidden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hidden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hidden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hidden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62" t="s">
        <v>0</v>
      </c>
      <c r="W5" s="162"/>
      <c r="X5" s="8">
        <v>43617</v>
      </c>
    </row>
    <row r="6" spans="1:24">
      <c r="A6" s="96" t="s">
        <v>1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</row>
    <row r="7" spans="1:24">
      <c r="A7" s="96" t="s">
        <v>2</v>
      </c>
      <c r="B7" s="96"/>
      <c r="C7" s="96" t="s">
        <v>3</v>
      </c>
      <c r="D7" s="96"/>
      <c r="E7" s="96"/>
      <c r="F7" s="96" t="s">
        <v>4</v>
      </c>
      <c r="G7" s="96"/>
      <c r="H7" s="96"/>
      <c r="I7" s="96"/>
      <c r="J7" s="96"/>
      <c r="K7" s="96"/>
      <c r="L7" s="96"/>
      <c r="M7" s="96"/>
      <c r="N7" s="96" t="s">
        <v>5</v>
      </c>
      <c r="O7" s="96"/>
      <c r="P7" s="96"/>
      <c r="Q7" s="96" t="s">
        <v>6</v>
      </c>
      <c r="R7" s="96"/>
      <c r="S7" s="96"/>
      <c r="T7" s="96"/>
      <c r="U7" s="96"/>
      <c r="V7" s="96"/>
      <c r="W7" s="96" t="s">
        <v>7</v>
      </c>
      <c r="X7" s="96" t="s">
        <v>8</v>
      </c>
    </row>
    <row r="8" spans="1:24" s="9" customFormat="1">
      <c r="A8" s="97" t="s">
        <v>9</v>
      </c>
      <c r="B8" s="97" t="s">
        <v>10</v>
      </c>
      <c r="C8" s="97" t="s">
        <v>11</v>
      </c>
      <c r="D8" s="97" t="s">
        <v>12</v>
      </c>
      <c r="E8" s="97" t="s">
        <v>13</v>
      </c>
      <c r="F8" s="97" t="s">
        <v>14</v>
      </c>
      <c r="G8" s="97" t="s">
        <v>15</v>
      </c>
      <c r="H8" s="97" t="s">
        <v>16</v>
      </c>
      <c r="I8" s="97"/>
      <c r="J8" s="98" t="s">
        <v>17</v>
      </c>
      <c r="K8" s="98"/>
      <c r="L8" s="97" t="s">
        <v>18</v>
      </c>
      <c r="M8" s="97" t="s">
        <v>19</v>
      </c>
      <c r="N8" s="98" t="s">
        <v>20</v>
      </c>
      <c r="O8" s="98" t="s">
        <v>21</v>
      </c>
      <c r="P8" s="98" t="s">
        <v>22</v>
      </c>
      <c r="Q8" s="98" t="s">
        <v>23</v>
      </c>
      <c r="R8" s="98"/>
      <c r="S8" s="98" t="s">
        <v>24</v>
      </c>
      <c r="T8" s="98"/>
      <c r="U8" s="97" t="s">
        <v>25</v>
      </c>
      <c r="V8" s="98" t="s">
        <v>22</v>
      </c>
      <c r="W8" s="96"/>
      <c r="X8" s="96"/>
    </row>
    <row r="9" spans="1:24" s="9" customFormat="1" ht="17.25" customHeight="1">
      <c r="A9" s="97"/>
      <c r="B9" s="97"/>
      <c r="C9" s="97"/>
      <c r="D9" s="97"/>
      <c r="E9" s="97"/>
      <c r="F9" s="97"/>
      <c r="G9" s="97"/>
      <c r="H9" s="10" t="s">
        <v>26</v>
      </c>
      <c r="I9" s="10" t="s">
        <v>27</v>
      </c>
      <c r="J9" s="10" t="s">
        <v>26</v>
      </c>
      <c r="K9" s="11" t="s">
        <v>28</v>
      </c>
      <c r="L9" s="97"/>
      <c r="M9" s="97"/>
      <c r="N9" s="98"/>
      <c r="O9" s="98"/>
      <c r="P9" s="98"/>
      <c r="Q9" s="10" t="s">
        <v>29</v>
      </c>
      <c r="R9" s="11" t="s">
        <v>30</v>
      </c>
      <c r="S9" s="10" t="s">
        <v>29</v>
      </c>
      <c r="T9" s="11" t="s">
        <v>30</v>
      </c>
      <c r="U9" s="97"/>
      <c r="V9" s="98"/>
      <c r="W9" s="96"/>
      <c r="X9" s="96"/>
    </row>
    <row r="10" spans="1:24" ht="14.25">
      <c r="A10" s="34" t="s">
        <v>253</v>
      </c>
      <c r="B10" s="34" t="s">
        <v>253</v>
      </c>
      <c r="C10" s="34" t="s">
        <v>320</v>
      </c>
      <c r="D10" s="29"/>
      <c r="E10" s="20"/>
      <c r="F10" s="34" t="s">
        <v>447</v>
      </c>
      <c r="G10" s="34" t="s">
        <v>36</v>
      </c>
      <c r="H10" s="34" t="s">
        <v>37</v>
      </c>
      <c r="I10" s="34" t="s">
        <v>38</v>
      </c>
      <c r="J10" s="34" t="s">
        <v>37</v>
      </c>
      <c r="K10" s="34" t="s">
        <v>391</v>
      </c>
      <c r="L10" s="62">
        <v>43620</v>
      </c>
      <c r="M10" s="62">
        <v>43622</v>
      </c>
      <c r="N10" s="63">
        <f>432/2</f>
        <v>216</v>
      </c>
      <c r="O10" s="63">
        <f>432/2</f>
        <v>216</v>
      </c>
      <c r="P10" s="63">
        <f>SUM(N10:O10)</f>
        <v>432</v>
      </c>
      <c r="Q10" s="34">
        <v>3</v>
      </c>
      <c r="R10" s="63">
        <v>120</v>
      </c>
      <c r="S10" s="34">
        <v>0</v>
      </c>
      <c r="T10" s="63">
        <v>0</v>
      </c>
      <c r="U10" s="63">
        <f>(Q10*R10)+(S10*T10)</f>
        <v>360</v>
      </c>
      <c r="V10" s="63">
        <f>U10+P10</f>
        <v>792</v>
      </c>
      <c r="W10" s="63">
        <f>V10</f>
        <v>792</v>
      </c>
      <c r="X10" s="34"/>
    </row>
    <row r="11" spans="1:24" ht="14.25">
      <c r="A11" s="34" t="s">
        <v>253</v>
      </c>
      <c r="B11" s="34" t="s">
        <v>253</v>
      </c>
      <c r="C11" s="34" t="s">
        <v>223</v>
      </c>
      <c r="D11" s="56"/>
      <c r="E11" s="20"/>
      <c r="F11" s="34" t="s">
        <v>51</v>
      </c>
      <c r="G11" s="34" t="s">
        <v>36</v>
      </c>
      <c r="H11" s="34" t="s">
        <v>37</v>
      </c>
      <c r="I11" s="34" t="s">
        <v>38</v>
      </c>
      <c r="J11" s="34" t="s">
        <v>37</v>
      </c>
      <c r="K11" s="34" t="s">
        <v>105</v>
      </c>
      <c r="L11" s="62">
        <v>43621</v>
      </c>
      <c r="M11" s="62">
        <v>43623</v>
      </c>
      <c r="N11" s="63">
        <f>1751.21/2</f>
        <v>875.60500000000002</v>
      </c>
      <c r="O11" s="63">
        <f>1751.21/2</f>
        <v>875.60500000000002</v>
      </c>
      <c r="P11" s="63">
        <f t="shared" ref="P11:P20" si="0">SUM(N11:O11)</f>
        <v>1751.21</v>
      </c>
      <c r="Q11" s="34">
        <v>0</v>
      </c>
      <c r="R11" s="63">
        <v>0</v>
      </c>
      <c r="S11" s="34">
        <v>0</v>
      </c>
      <c r="T11" s="63">
        <v>0</v>
      </c>
      <c r="U11" s="63">
        <f t="shared" ref="U11:U20" si="1">(Q11*R11)+(S11*T11)</f>
        <v>0</v>
      </c>
      <c r="V11" s="63">
        <f t="shared" ref="V11:V20" si="2">U11+P11</f>
        <v>1751.21</v>
      </c>
      <c r="W11" s="63">
        <f t="shared" ref="W11:W21" si="3">V11</f>
        <v>1751.21</v>
      </c>
      <c r="X11" s="34"/>
    </row>
    <row r="12" spans="1:24" ht="25.5" customHeight="1">
      <c r="A12" s="34" t="s">
        <v>371</v>
      </c>
      <c r="B12" s="34" t="s">
        <v>240</v>
      </c>
      <c r="C12" s="34" t="s">
        <v>448</v>
      </c>
      <c r="D12" s="29"/>
      <c r="E12" s="20"/>
      <c r="F12" s="34" t="s">
        <v>449</v>
      </c>
      <c r="G12" s="34" t="s">
        <v>36</v>
      </c>
      <c r="H12" s="34" t="s">
        <v>37</v>
      </c>
      <c r="I12" s="34" t="s">
        <v>38</v>
      </c>
      <c r="J12" s="34" t="s">
        <v>127</v>
      </c>
      <c r="K12" s="34" t="s">
        <v>63</v>
      </c>
      <c r="L12" s="62">
        <v>43620</v>
      </c>
      <c r="M12" s="62">
        <v>43621</v>
      </c>
      <c r="N12" s="63">
        <f>1900.67/2</f>
        <v>950.33500000000004</v>
      </c>
      <c r="O12" s="63">
        <f>1900.67/2</f>
        <v>950.33500000000004</v>
      </c>
      <c r="P12" s="63">
        <f t="shared" si="0"/>
        <v>1900.67</v>
      </c>
      <c r="Q12" s="34"/>
      <c r="R12" s="63"/>
      <c r="S12" s="34"/>
      <c r="T12" s="63"/>
      <c r="U12" s="63">
        <f t="shared" si="1"/>
        <v>0</v>
      </c>
      <c r="V12" s="63">
        <f t="shared" si="2"/>
        <v>1900.67</v>
      </c>
      <c r="W12" s="63">
        <f t="shared" si="3"/>
        <v>1900.67</v>
      </c>
      <c r="X12" s="34"/>
    </row>
    <row r="13" spans="1:24" ht="25.5">
      <c r="A13" s="34" t="s">
        <v>231</v>
      </c>
      <c r="B13" s="34" t="s">
        <v>450</v>
      </c>
      <c r="C13" s="34" t="s">
        <v>451</v>
      </c>
      <c r="D13" s="56"/>
      <c r="E13" s="20"/>
      <c r="F13" s="34" t="s">
        <v>230</v>
      </c>
      <c r="G13" s="34" t="s">
        <v>36</v>
      </c>
      <c r="H13" s="34" t="s">
        <v>37</v>
      </c>
      <c r="I13" s="34" t="s">
        <v>38</v>
      </c>
      <c r="J13" s="34" t="s">
        <v>39</v>
      </c>
      <c r="K13" s="34" t="s">
        <v>40</v>
      </c>
      <c r="L13" s="62">
        <v>43628</v>
      </c>
      <c r="M13" s="62">
        <v>43629</v>
      </c>
      <c r="N13" s="63">
        <f>1928.98/2</f>
        <v>964.49</v>
      </c>
      <c r="O13" s="63">
        <f>1928.98/2</f>
        <v>964.49</v>
      </c>
      <c r="P13" s="63">
        <f t="shared" si="0"/>
        <v>1928.98</v>
      </c>
      <c r="Q13" s="34">
        <v>0</v>
      </c>
      <c r="R13" s="63">
        <v>0</v>
      </c>
      <c r="S13" s="34">
        <v>0</v>
      </c>
      <c r="T13" s="63">
        <v>0</v>
      </c>
      <c r="U13" s="63">
        <f t="shared" si="1"/>
        <v>0</v>
      </c>
      <c r="V13" s="63">
        <f t="shared" si="2"/>
        <v>1928.98</v>
      </c>
      <c r="W13" s="63">
        <f t="shared" si="3"/>
        <v>1928.98</v>
      </c>
      <c r="X13" s="34"/>
    </row>
    <row r="14" spans="1:24" ht="26.25" customHeight="1">
      <c r="A14" s="34" t="s">
        <v>231</v>
      </c>
      <c r="B14" s="34" t="s">
        <v>231</v>
      </c>
      <c r="C14" s="34" t="s">
        <v>412</v>
      </c>
      <c r="D14" s="29"/>
      <c r="E14" s="20"/>
      <c r="F14" s="34" t="s">
        <v>230</v>
      </c>
      <c r="G14" s="34" t="s">
        <v>36</v>
      </c>
      <c r="H14" s="34" t="s">
        <v>37</v>
      </c>
      <c r="I14" s="34" t="s">
        <v>38</v>
      </c>
      <c r="J14" s="34" t="s">
        <v>39</v>
      </c>
      <c r="K14" s="34" t="s">
        <v>40</v>
      </c>
      <c r="L14" s="62">
        <v>43628</v>
      </c>
      <c r="M14" s="62">
        <v>43629</v>
      </c>
      <c r="N14" s="63">
        <f>1928.98/2</f>
        <v>964.49</v>
      </c>
      <c r="O14" s="63">
        <f>1928.98/2</f>
        <v>964.49</v>
      </c>
      <c r="P14" s="63">
        <f t="shared" si="0"/>
        <v>1928.98</v>
      </c>
      <c r="Q14" s="34">
        <v>0</v>
      </c>
      <c r="R14" s="63">
        <v>0</v>
      </c>
      <c r="S14" s="34">
        <v>0</v>
      </c>
      <c r="T14" s="63">
        <v>0</v>
      </c>
      <c r="U14" s="63">
        <f t="shared" si="1"/>
        <v>0</v>
      </c>
      <c r="V14" s="63">
        <f t="shared" si="2"/>
        <v>1928.98</v>
      </c>
      <c r="W14" s="63">
        <f t="shared" si="3"/>
        <v>1928.98</v>
      </c>
      <c r="X14" s="34"/>
    </row>
    <row r="15" spans="1:24" ht="25.5">
      <c r="A15" s="34" t="s">
        <v>371</v>
      </c>
      <c r="B15" s="34" t="s">
        <v>371</v>
      </c>
      <c r="C15" s="34" t="s">
        <v>79</v>
      </c>
      <c r="D15" s="29"/>
      <c r="E15" s="20"/>
      <c r="F15" s="34" t="s">
        <v>230</v>
      </c>
      <c r="G15" s="34" t="s">
        <v>36</v>
      </c>
      <c r="H15" s="34" t="s">
        <v>37</v>
      </c>
      <c r="I15" s="34" t="s">
        <v>38</v>
      </c>
      <c r="J15" s="34" t="s">
        <v>116</v>
      </c>
      <c r="K15" s="34" t="s">
        <v>117</v>
      </c>
      <c r="L15" s="62">
        <v>43627</v>
      </c>
      <c r="M15" s="62">
        <v>43628</v>
      </c>
      <c r="N15" s="63">
        <f>1211.62/2</f>
        <v>605.80999999999995</v>
      </c>
      <c r="O15" s="63">
        <f>1211.62/2</f>
        <v>605.80999999999995</v>
      </c>
      <c r="P15" s="63">
        <f t="shared" si="0"/>
        <v>1211.6199999999999</v>
      </c>
      <c r="Q15" s="34">
        <v>0</v>
      </c>
      <c r="R15" s="63">
        <v>0</v>
      </c>
      <c r="S15" s="34">
        <v>0</v>
      </c>
      <c r="T15" s="63">
        <v>0</v>
      </c>
      <c r="U15" s="63">
        <f t="shared" si="1"/>
        <v>0</v>
      </c>
      <c r="V15" s="63">
        <f t="shared" si="2"/>
        <v>1211.6199999999999</v>
      </c>
      <c r="W15" s="63">
        <f t="shared" si="3"/>
        <v>1211.6199999999999</v>
      </c>
      <c r="X15" s="34"/>
    </row>
    <row r="16" spans="1:24" ht="25.5">
      <c r="A16" s="34" t="s">
        <v>371</v>
      </c>
      <c r="B16" s="34" t="s">
        <v>371</v>
      </c>
      <c r="C16" s="34" t="s">
        <v>137</v>
      </c>
      <c r="D16" s="29"/>
      <c r="E16" s="20"/>
      <c r="F16" s="34" t="s">
        <v>230</v>
      </c>
      <c r="G16" s="34" t="s">
        <v>36</v>
      </c>
      <c r="H16" s="34" t="s">
        <v>37</v>
      </c>
      <c r="I16" s="34" t="s">
        <v>38</v>
      </c>
      <c r="J16" s="34" t="s">
        <v>116</v>
      </c>
      <c r="K16" s="34" t="s">
        <v>117</v>
      </c>
      <c r="L16" s="62">
        <v>43627</v>
      </c>
      <c r="M16" s="62">
        <v>43628</v>
      </c>
      <c r="N16" s="63">
        <f>1414.41/2</f>
        <v>707.20500000000004</v>
      </c>
      <c r="O16" s="63">
        <f>1414.41/2</f>
        <v>707.20500000000004</v>
      </c>
      <c r="P16" s="63">
        <f t="shared" si="0"/>
        <v>1414.41</v>
      </c>
      <c r="Q16" s="34">
        <v>2</v>
      </c>
      <c r="R16" s="63">
        <v>120</v>
      </c>
      <c r="S16" s="34">
        <v>0</v>
      </c>
      <c r="T16" s="63">
        <v>0</v>
      </c>
      <c r="U16" s="63">
        <f t="shared" si="1"/>
        <v>240</v>
      </c>
      <c r="V16" s="63">
        <f t="shared" si="2"/>
        <v>1654.41</v>
      </c>
      <c r="W16" s="63">
        <f t="shared" si="3"/>
        <v>1654.41</v>
      </c>
      <c r="X16" s="34"/>
    </row>
    <row r="17" spans="1:24" ht="22.5" customHeight="1">
      <c r="A17" s="34" t="s">
        <v>253</v>
      </c>
      <c r="B17" s="34" t="s">
        <v>259</v>
      </c>
      <c r="C17" s="34" t="s">
        <v>320</v>
      </c>
      <c r="D17" s="29"/>
      <c r="E17" s="20"/>
      <c r="F17" s="34" t="s">
        <v>230</v>
      </c>
      <c r="G17" s="34" t="s">
        <v>36</v>
      </c>
      <c r="H17" s="34" t="s">
        <v>37</v>
      </c>
      <c r="I17" s="34" t="s">
        <v>38</v>
      </c>
      <c r="J17" s="34" t="s">
        <v>116</v>
      </c>
      <c r="K17" s="34" t="s">
        <v>117</v>
      </c>
      <c r="L17" s="62">
        <v>43627</v>
      </c>
      <c r="M17" s="62">
        <v>43628</v>
      </c>
      <c r="N17" s="63">
        <f>1379.41/2</f>
        <v>689.70500000000004</v>
      </c>
      <c r="O17" s="63">
        <f>1379.41/2</f>
        <v>689.70500000000004</v>
      </c>
      <c r="P17" s="63">
        <f t="shared" si="0"/>
        <v>1379.41</v>
      </c>
      <c r="Q17" s="34">
        <v>2</v>
      </c>
      <c r="R17" s="63">
        <v>120</v>
      </c>
      <c r="S17" s="34">
        <v>0</v>
      </c>
      <c r="T17" s="63">
        <v>0</v>
      </c>
      <c r="U17" s="63">
        <f t="shared" si="1"/>
        <v>240</v>
      </c>
      <c r="V17" s="63">
        <f t="shared" si="2"/>
        <v>1619.41</v>
      </c>
      <c r="W17" s="63">
        <f t="shared" si="3"/>
        <v>1619.41</v>
      </c>
      <c r="X17" s="34"/>
    </row>
    <row r="18" spans="1:24" ht="14.25">
      <c r="A18" s="34" t="s">
        <v>231</v>
      </c>
      <c r="B18" s="34" t="s">
        <v>221</v>
      </c>
      <c r="C18" s="34" t="s">
        <v>54</v>
      </c>
      <c r="D18" s="56"/>
      <c r="E18" s="20"/>
      <c r="F18" s="34" t="s">
        <v>230</v>
      </c>
      <c r="G18" s="34" t="s">
        <v>36</v>
      </c>
      <c r="H18" s="34" t="s">
        <v>37</v>
      </c>
      <c r="I18" s="34" t="s">
        <v>38</v>
      </c>
      <c r="J18" s="34" t="s">
        <v>39</v>
      </c>
      <c r="K18" s="34" t="s">
        <v>40</v>
      </c>
      <c r="L18" s="62">
        <v>43628</v>
      </c>
      <c r="M18" s="62">
        <v>43629</v>
      </c>
      <c r="N18" s="63">
        <f>2417.28/2</f>
        <v>1208.6400000000001</v>
      </c>
      <c r="O18" s="63">
        <f>2417.28/2</f>
        <v>1208.6400000000001</v>
      </c>
      <c r="P18" s="63">
        <f t="shared" si="0"/>
        <v>2417.2800000000002</v>
      </c>
      <c r="Q18" s="34">
        <v>4</v>
      </c>
      <c r="R18" s="63">
        <v>120</v>
      </c>
      <c r="S18" s="34">
        <v>0</v>
      </c>
      <c r="T18" s="63">
        <v>0</v>
      </c>
      <c r="U18" s="63">
        <f t="shared" si="1"/>
        <v>480</v>
      </c>
      <c r="V18" s="63">
        <f t="shared" si="2"/>
        <v>2897.28</v>
      </c>
      <c r="W18" s="63">
        <f t="shared" si="3"/>
        <v>2897.28</v>
      </c>
      <c r="X18" s="34"/>
    </row>
    <row r="19" spans="1:24" ht="25.5">
      <c r="A19" s="34" t="s">
        <v>371</v>
      </c>
      <c r="B19" s="34" t="s">
        <v>226</v>
      </c>
      <c r="C19" s="34" t="s">
        <v>206</v>
      </c>
      <c r="D19" s="56"/>
      <c r="E19" s="20"/>
      <c r="F19" s="34" t="s">
        <v>452</v>
      </c>
      <c r="G19" s="34" t="s">
        <v>36</v>
      </c>
      <c r="H19" s="34" t="s">
        <v>37</v>
      </c>
      <c r="I19" s="34" t="s">
        <v>38</v>
      </c>
      <c r="J19" s="34" t="s">
        <v>39</v>
      </c>
      <c r="K19" s="34" t="s">
        <v>40</v>
      </c>
      <c r="L19" s="62">
        <v>43641</v>
      </c>
      <c r="M19" s="62">
        <v>43643</v>
      </c>
      <c r="N19" s="63">
        <f>2390.88/2</f>
        <v>1195.44</v>
      </c>
      <c r="O19" s="63">
        <f>2390.88/2</f>
        <v>1195.44</v>
      </c>
      <c r="P19" s="63">
        <f t="shared" si="0"/>
        <v>2390.88</v>
      </c>
      <c r="Q19" s="34">
        <v>6</v>
      </c>
      <c r="R19" s="63">
        <v>120</v>
      </c>
      <c r="S19" s="34">
        <v>0</v>
      </c>
      <c r="T19" s="63">
        <v>0</v>
      </c>
      <c r="U19" s="63">
        <f t="shared" si="1"/>
        <v>720</v>
      </c>
      <c r="V19" s="63">
        <f t="shared" si="2"/>
        <v>3110.88</v>
      </c>
      <c r="W19" s="63">
        <f t="shared" si="3"/>
        <v>3110.88</v>
      </c>
      <c r="X19" s="34"/>
    </row>
    <row r="20" spans="1:24" ht="25.5">
      <c r="A20" s="34" t="s">
        <v>371</v>
      </c>
      <c r="B20" s="34" t="s">
        <v>371</v>
      </c>
      <c r="C20" s="65" t="s">
        <v>79</v>
      </c>
      <c r="D20" s="51"/>
      <c r="E20" s="64"/>
      <c r="F20" s="65" t="s">
        <v>453</v>
      </c>
      <c r="G20" s="65" t="s">
        <v>36</v>
      </c>
      <c r="H20" s="65" t="s">
        <v>37</v>
      </c>
      <c r="I20" s="65" t="s">
        <v>38</v>
      </c>
      <c r="J20" s="65" t="s">
        <v>39</v>
      </c>
      <c r="K20" s="65" t="s">
        <v>40</v>
      </c>
      <c r="L20" s="67">
        <v>43642</v>
      </c>
      <c r="M20" s="67">
        <v>43644</v>
      </c>
      <c r="N20" s="68">
        <f>1925.28/2</f>
        <v>962.64</v>
      </c>
      <c r="O20" s="68">
        <f>1925.28/2</f>
        <v>962.64</v>
      </c>
      <c r="P20" s="63">
        <f t="shared" si="0"/>
        <v>1925.28</v>
      </c>
      <c r="Q20" s="65">
        <v>0</v>
      </c>
      <c r="R20" s="68">
        <v>0</v>
      </c>
      <c r="S20" s="65">
        <v>0</v>
      </c>
      <c r="T20" s="68">
        <v>0</v>
      </c>
      <c r="U20" s="63">
        <f t="shared" si="1"/>
        <v>0</v>
      </c>
      <c r="V20" s="63">
        <f t="shared" si="2"/>
        <v>1925.28</v>
      </c>
      <c r="W20" s="63">
        <f t="shared" si="3"/>
        <v>1925.28</v>
      </c>
      <c r="X20" s="65"/>
    </row>
    <row r="21" spans="1:24" ht="14.25">
      <c r="A21" s="124" t="s">
        <v>253</v>
      </c>
      <c r="B21" s="124" t="s">
        <v>253</v>
      </c>
      <c r="C21" s="136" t="s">
        <v>320</v>
      </c>
      <c r="D21" s="134"/>
      <c r="E21" s="135"/>
      <c r="F21" s="136" t="s">
        <v>454</v>
      </c>
      <c r="G21" s="136" t="s">
        <v>36</v>
      </c>
      <c r="H21" s="53" t="s">
        <v>116</v>
      </c>
      <c r="I21" s="53" t="s">
        <v>117</v>
      </c>
      <c r="J21" s="53" t="s">
        <v>39</v>
      </c>
      <c r="K21" s="53" t="s">
        <v>40</v>
      </c>
      <c r="L21" s="69">
        <v>43629</v>
      </c>
      <c r="M21" s="69">
        <v>43630</v>
      </c>
      <c r="N21" s="138">
        <f>3129.35/2</f>
        <v>1564.675</v>
      </c>
      <c r="O21" s="138">
        <f>3129.35/2</f>
        <v>1564.675</v>
      </c>
      <c r="P21" s="138">
        <v>1925.28</v>
      </c>
      <c r="Q21" s="136">
        <v>2</v>
      </c>
      <c r="R21" s="138">
        <v>120</v>
      </c>
      <c r="S21" s="138">
        <v>0</v>
      </c>
      <c r="T21" s="138">
        <v>0</v>
      </c>
      <c r="U21" s="140">
        <f t="shared" ref="U21" si="4">(Q21*R21)+(S21*T21)</f>
        <v>240</v>
      </c>
      <c r="V21" s="143">
        <f t="shared" ref="V21" si="5">U21+P21</f>
        <v>2165.2799999999997</v>
      </c>
      <c r="W21" s="146">
        <f t="shared" si="3"/>
        <v>2165.2799999999997</v>
      </c>
      <c r="X21" s="138"/>
    </row>
    <row r="22" spans="1:24" ht="14.25">
      <c r="A22" s="139"/>
      <c r="B22" s="139"/>
      <c r="C22" s="136"/>
      <c r="D22" s="134"/>
      <c r="E22" s="135"/>
      <c r="F22" s="136"/>
      <c r="G22" s="136"/>
      <c r="H22" s="53" t="s">
        <v>39</v>
      </c>
      <c r="I22" s="53" t="s">
        <v>40</v>
      </c>
      <c r="J22" s="53" t="s">
        <v>127</v>
      </c>
      <c r="K22" s="53" t="s">
        <v>63</v>
      </c>
      <c r="L22" s="69">
        <v>43630</v>
      </c>
      <c r="M22" s="69">
        <v>43633</v>
      </c>
      <c r="N22" s="138"/>
      <c r="O22" s="138"/>
      <c r="P22" s="138"/>
      <c r="Q22" s="136"/>
      <c r="R22" s="138"/>
      <c r="S22" s="138"/>
      <c r="T22" s="138"/>
      <c r="U22" s="141"/>
      <c r="V22" s="144"/>
      <c r="W22" s="147"/>
      <c r="X22" s="138"/>
    </row>
    <row r="23" spans="1:24" ht="15" customHeight="1">
      <c r="A23" s="125"/>
      <c r="B23" s="125"/>
      <c r="C23" s="136"/>
      <c r="D23" s="134"/>
      <c r="E23" s="135"/>
      <c r="F23" s="136"/>
      <c r="G23" s="136"/>
      <c r="H23" s="53" t="s">
        <v>127</v>
      </c>
      <c r="I23" s="53" t="s">
        <v>63</v>
      </c>
      <c r="J23" s="53" t="s">
        <v>37</v>
      </c>
      <c r="K23" s="53" t="s">
        <v>38</v>
      </c>
      <c r="L23" s="69">
        <v>43633</v>
      </c>
      <c r="M23" s="69">
        <v>43633</v>
      </c>
      <c r="N23" s="138"/>
      <c r="O23" s="138"/>
      <c r="P23" s="138"/>
      <c r="Q23" s="136"/>
      <c r="R23" s="138"/>
      <c r="S23" s="138"/>
      <c r="T23" s="138"/>
      <c r="U23" s="142"/>
      <c r="V23" s="145"/>
      <c r="W23" s="148"/>
      <c r="X23" s="138"/>
    </row>
    <row r="24" spans="1:24" ht="45" customHeight="1">
      <c r="A24" s="34" t="s">
        <v>253</v>
      </c>
      <c r="B24" s="34" t="s">
        <v>322</v>
      </c>
      <c r="C24" s="34" t="s">
        <v>350</v>
      </c>
      <c r="D24" s="44"/>
      <c r="E24" s="44"/>
      <c r="F24" s="65" t="s">
        <v>455</v>
      </c>
      <c r="G24" s="65" t="s">
        <v>36</v>
      </c>
      <c r="H24" s="65" t="s">
        <v>37</v>
      </c>
      <c r="I24" s="65" t="s">
        <v>38</v>
      </c>
      <c r="J24" s="34" t="s">
        <v>39</v>
      </c>
      <c r="K24" s="34" t="s">
        <v>40</v>
      </c>
      <c r="L24" s="69">
        <v>43646</v>
      </c>
      <c r="M24" s="69">
        <v>43649</v>
      </c>
      <c r="N24" s="44">
        <f>1450.58/2</f>
        <v>725.29</v>
      </c>
      <c r="O24" s="44">
        <f>1450.58/2</f>
        <v>725.29</v>
      </c>
      <c r="P24" s="63">
        <f t="shared" ref="P24:P29" si="6">SUM(N24:O24)</f>
        <v>1450.58</v>
      </c>
      <c r="Q24" s="34">
        <v>4</v>
      </c>
      <c r="R24" s="63">
        <v>120</v>
      </c>
      <c r="S24" s="34">
        <v>0</v>
      </c>
      <c r="T24" s="63">
        <v>0</v>
      </c>
      <c r="U24" s="63">
        <f t="shared" ref="U24" si="7">(Q24*R24)+(S24*T24)</f>
        <v>480</v>
      </c>
      <c r="V24" s="63">
        <f t="shared" ref="V24" si="8">U24+P24</f>
        <v>1930.58</v>
      </c>
      <c r="W24" s="63">
        <f t="shared" ref="W24:W29" si="9">V24</f>
        <v>1930.58</v>
      </c>
      <c r="X24" s="44"/>
    </row>
    <row r="25" spans="1:24" ht="38.25">
      <c r="A25" s="34" t="s">
        <v>253</v>
      </c>
      <c r="B25" s="34" t="s">
        <v>322</v>
      </c>
      <c r="C25" s="34" t="s">
        <v>456</v>
      </c>
      <c r="D25" s="44"/>
      <c r="E25" s="44"/>
      <c r="F25" s="65" t="s">
        <v>455</v>
      </c>
      <c r="G25" s="65" t="s">
        <v>36</v>
      </c>
      <c r="H25" s="65" t="s">
        <v>37</v>
      </c>
      <c r="I25" s="65" t="s">
        <v>38</v>
      </c>
      <c r="J25" s="34" t="s">
        <v>39</v>
      </c>
      <c r="K25" s="34" t="s">
        <v>40</v>
      </c>
      <c r="L25" s="69">
        <v>43646</v>
      </c>
      <c r="M25" s="69">
        <v>43649</v>
      </c>
      <c r="N25" s="44">
        <f t="shared" ref="N25:O29" si="10">1450.58/2</f>
        <v>725.29</v>
      </c>
      <c r="O25" s="44">
        <f t="shared" si="10"/>
        <v>725.29</v>
      </c>
      <c r="P25" s="63">
        <f t="shared" si="6"/>
        <v>1450.58</v>
      </c>
      <c r="Q25" s="34">
        <v>4</v>
      </c>
      <c r="R25" s="63">
        <v>120</v>
      </c>
      <c r="S25" s="34">
        <v>2</v>
      </c>
      <c r="T25" s="63">
        <v>100</v>
      </c>
      <c r="U25" s="63">
        <f t="shared" ref="U25:U29" si="11">(Q25*R25)+(S25*T25)</f>
        <v>680</v>
      </c>
      <c r="V25" s="63">
        <f t="shared" ref="V25:V29" si="12">U25+P25</f>
        <v>2130.58</v>
      </c>
      <c r="W25" s="63">
        <f t="shared" si="9"/>
        <v>2130.58</v>
      </c>
      <c r="X25" s="44"/>
    </row>
    <row r="26" spans="1:24" ht="38.25">
      <c r="A26" s="34" t="s">
        <v>253</v>
      </c>
      <c r="B26" s="34" t="s">
        <v>322</v>
      </c>
      <c r="C26" s="34" t="s">
        <v>457</v>
      </c>
      <c r="D26" s="44"/>
      <c r="E26" s="44"/>
      <c r="F26" s="65" t="s">
        <v>455</v>
      </c>
      <c r="G26" s="65" t="s">
        <v>36</v>
      </c>
      <c r="H26" s="65" t="s">
        <v>37</v>
      </c>
      <c r="I26" s="65" t="s">
        <v>38</v>
      </c>
      <c r="J26" s="34" t="s">
        <v>39</v>
      </c>
      <c r="K26" s="34" t="s">
        <v>40</v>
      </c>
      <c r="L26" s="69">
        <v>43646</v>
      </c>
      <c r="M26" s="69">
        <v>43649</v>
      </c>
      <c r="N26" s="44">
        <f t="shared" si="10"/>
        <v>725.29</v>
      </c>
      <c r="O26" s="44">
        <f t="shared" si="10"/>
        <v>725.29</v>
      </c>
      <c r="P26" s="63">
        <f t="shared" si="6"/>
        <v>1450.58</v>
      </c>
      <c r="Q26" s="34">
        <v>4</v>
      </c>
      <c r="R26" s="63">
        <v>120</v>
      </c>
      <c r="S26" s="34">
        <v>2</v>
      </c>
      <c r="T26" s="63">
        <v>100</v>
      </c>
      <c r="U26" s="63">
        <f t="shared" si="11"/>
        <v>680</v>
      </c>
      <c r="V26" s="63">
        <f t="shared" si="12"/>
        <v>2130.58</v>
      </c>
      <c r="W26" s="63">
        <f t="shared" si="9"/>
        <v>2130.58</v>
      </c>
      <c r="X26" s="44"/>
    </row>
    <row r="27" spans="1:24" ht="38.25">
      <c r="A27" s="34" t="s">
        <v>253</v>
      </c>
      <c r="B27" s="34" t="s">
        <v>322</v>
      </c>
      <c r="C27" s="34" t="s">
        <v>458</v>
      </c>
      <c r="D27" s="44"/>
      <c r="E27" s="44"/>
      <c r="F27" s="65" t="s">
        <v>455</v>
      </c>
      <c r="G27" s="65" t="s">
        <v>36</v>
      </c>
      <c r="H27" s="65" t="s">
        <v>37</v>
      </c>
      <c r="I27" s="65" t="s">
        <v>38</v>
      </c>
      <c r="J27" s="34" t="s">
        <v>39</v>
      </c>
      <c r="K27" s="34" t="s">
        <v>40</v>
      </c>
      <c r="L27" s="69">
        <v>43646</v>
      </c>
      <c r="M27" s="69">
        <v>43649</v>
      </c>
      <c r="N27" s="44">
        <f t="shared" si="10"/>
        <v>725.29</v>
      </c>
      <c r="O27" s="44">
        <f t="shared" si="10"/>
        <v>725.29</v>
      </c>
      <c r="P27" s="63">
        <f t="shared" si="6"/>
        <v>1450.58</v>
      </c>
      <c r="Q27" s="34">
        <v>4</v>
      </c>
      <c r="R27" s="63">
        <v>120</v>
      </c>
      <c r="S27" s="34">
        <v>2</v>
      </c>
      <c r="T27" s="63">
        <v>100</v>
      </c>
      <c r="U27" s="63">
        <f t="shared" si="11"/>
        <v>680</v>
      </c>
      <c r="V27" s="63">
        <f t="shared" si="12"/>
        <v>2130.58</v>
      </c>
      <c r="W27" s="63">
        <f t="shared" si="9"/>
        <v>2130.58</v>
      </c>
      <c r="X27" s="44"/>
    </row>
    <row r="28" spans="1:24" ht="38.25">
      <c r="A28" s="34" t="s">
        <v>253</v>
      </c>
      <c r="B28" s="34" t="s">
        <v>288</v>
      </c>
      <c r="C28" s="34" t="s">
        <v>459</v>
      </c>
      <c r="D28" s="44"/>
      <c r="E28" s="44"/>
      <c r="F28" s="65" t="s">
        <v>455</v>
      </c>
      <c r="G28" s="65" t="s">
        <v>36</v>
      </c>
      <c r="H28" s="65" t="s">
        <v>37</v>
      </c>
      <c r="I28" s="65" t="s">
        <v>38</v>
      </c>
      <c r="J28" s="34" t="s">
        <v>39</v>
      </c>
      <c r="K28" s="34" t="s">
        <v>40</v>
      </c>
      <c r="L28" s="69">
        <v>43646</v>
      </c>
      <c r="M28" s="69">
        <v>43649</v>
      </c>
      <c r="N28" s="44">
        <f t="shared" si="10"/>
        <v>725.29</v>
      </c>
      <c r="O28" s="44">
        <f t="shared" si="10"/>
        <v>725.29</v>
      </c>
      <c r="P28" s="63">
        <f t="shared" si="6"/>
        <v>1450.58</v>
      </c>
      <c r="Q28" s="34">
        <v>4</v>
      </c>
      <c r="R28" s="63">
        <v>120</v>
      </c>
      <c r="S28" s="34">
        <v>2</v>
      </c>
      <c r="T28" s="63">
        <v>100</v>
      </c>
      <c r="U28" s="63">
        <f t="shared" si="11"/>
        <v>680</v>
      </c>
      <c r="V28" s="63">
        <f t="shared" si="12"/>
        <v>2130.58</v>
      </c>
      <c r="W28" s="63">
        <f t="shared" si="9"/>
        <v>2130.58</v>
      </c>
      <c r="X28" s="44"/>
    </row>
    <row r="29" spans="1:24" ht="38.25">
      <c r="A29" s="34" t="s">
        <v>253</v>
      </c>
      <c r="B29" s="34" t="s">
        <v>288</v>
      </c>
      <c r="C29" s="34" t="s">
        <v>378</v>
      </c>
      <c r="D29" s="44"/>
      <c r="E29" s="44"/>
      <c r="F29" s="53" t="s">
        <v>455</v>
      </c>
      <c r="G29" s="53" t="s">
        <v>36</v>
      </c>
      <c r="H29" s="53" t="s">
        <v>37</v>
      </c>
      <c r="I29" s="53" t="s">
        <v>38</v>
      </c>
      <c r="J29" s="34" t="s">
        <v>39</v>
      </c>
      <c r="K29" s="34" t="s">
        <v>40</v>
      </c>
      <c r="L29" s="69">
        <v>43646</v>
      </c>
      <c r="M29" s="69">
        <v>43649</v>
      </c>
      <c r="N29" s="44">
        <f t="shared" si="10"/>
        <v>725.29</v>
      </c>
      <c r="O29" s="44">
        <f t="shared" si="10"/>
        <v>725.29</v>
      </c>
      <c r="P29" s="63">
        <f t="shared" si="6"/>
        <v>1450.58</v>
      </c>
      <c r="Q29" s="34">
        <v>4</v>
      </c>
      <c r="R29" s="63">
        <v>120</v>
      </c>
      <c r="S29" s="34">
        <v>0</v>
      </c>
      <c r="T29" s="63">
        <v>0</v>
      </c>
      <c r="U29" s="63">
        <f t="shared" si="11"/>
        <v>480</v>
      </c>
      <c r="V29" s="63">
        <f t="shared" si="12"/>
        <v>1930.58</v>
      </c>
      <c r="W29" s="63">
        <f t="shared" si="9"/>
        <v>1930.58</v>
      </c>
      <c r="X29" s="44"/>
    </row>
  </sheetData>
  <mergeCells count="45">
    <mergeCell ref="A21:A23"/>
    <mergeCell ref="T21:T23"/>
    <mergeCell ref="U21:U23"/>
    <mergeCell ref="V21:V23"/>
    <mergeCell ref="W21:W23"/>
    <mergeCell ref="V8:V9"/>
    <mergeCell ref="X21:X23"/>
    <mergeCell ref="B21:B23"/>
    <mergeCell ref="N21:N23"/>
    <mergeCell ref="O21:O23"/>
    <mergeCell ref="P21:P23"/>
    <mergeCell ref="Q21:Q23"/>
    <mergeCell ref="R21:R23"/>
    <mergeCell ref="S21:S23"/>
    <mergeCell ref="C21:C23"/>
    <mergeCell ref="D21:D23"/>
    <mergeCell ref="E21:E23"/>
    <mergeCell ref="F21:F23"/>
    <mergeCell ref="G21:G23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U37"/>
  <sheetViews>
    <sheetView topLeftCell="A24" workbookViewId="0">
      <selection activeCell="C50" sqref="C50"/>
    </sheetView>
  </sheetViews>
  <sheetFormatPr defaultRowHeight="15" customHeight="1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2" width="18" customWidth="1"/>
    <col min="1003" max="1003" width="9" customWidth="1"/>
  </cols>
  <sheetData>
    <row r="1" spans="1:47" ht="14.25" hidden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62" t="s">
        <v>0</v>
      </c>
      <c r="W5" s="162"/>
      <c r="X5" s="72">
        <v>43586</v>
      </c>
    </row>
    <row r="6" spans="1:47">
      <c r="A6" s="96" t="s">
        <v>1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</row>
    <row r="7" spans="1:47">
      <c r="A7" s="96" t="s">
        <v>2</v>
      </c>
      <c r="B7" s="96"/>
      <c r="C7" s="96" t="s">
        <v>3</v>
      </c>
      <c r="D7" s="96"/>
      <c r="E7" s="96"/>
      <c r="F7" s="96" t="s">
        <v>4</v>
      </c>
      <c r="G7" s="96"/>
      <c r="H7" s="96"/>
      <c r="I7" s="96"/>
      <c r="J7" s="96"/>
      <c r="K7" s="96"/>
      <c r="L7" s="96"/>
      <c r="M7" s="96"/>
      <c r="N7" s="96" t="s">
        <v>5</v>
      </c>
      <c r="O7" s="96"/>
      <c r="P7" s="96"/>
      <c r="Q7" s="96" t="s">
        <v>6</v>
      </c>
      <c r="R7" s="96"/>
      <c r="S7" s="96"/>
      <c r="T7" s="96"/>
      <c r="U7" s="96"/>
      <c r="V7" s="96"/>
      <c r="W7" s="96" t="s">
        <v>7</v>
      </c>
      <c r="X7" s="149" t="s">
        <v>8</v>
      </c>
    </row>
    <row r="8" spans="1:47" s="9" customFormat="1">
      <c r="A8" s="97" t="s">
        <v>9</v>
      </c>
      <c r="B8" s="97" t="s">
        <v>10</v>
      </c>
      <c r="C8" s="97" t="s">
        <v>11</v>
      </c>
      <c r="D8" s="97" t="s">
        <v>12</v>
      </c>
      <c r="E8" s="97" t="s">
        <v>13</v>
      </c>
      <c r="F8" s="97" t="s">
        <v>14</v>
      </c>
      <c r="G8" s="97" t="s">
        <v>15</v>
      </c>
      <c r="H8" s="97" t="s">
        <v>16</v>
      </c>
      <c r="I8" s="97"/>
      <c r="J8" s="98" t="s">
        <v>17</v>
      </c>
      <c r="K8" s="98"/>
      <c r="L8" s="97" t="s">
        <v>18</v>
      </c>
      <c r="M8" s="97" t="s">
        <v>19</v>
      </c>
      <c r="N8" s="98" t="s">
        <v>20</v>
      </c>
      <c r="O8" s="98" t="s">
        <v>21</v>
      </c>
      <c r="P8" s="98" t="s">
        <v>22</v>
      </c>
      <c r="Q8" s="98" t="s">
        <v>23</v>
      </c>
      <c r="R8" s="98"/>
      <c r="S8" s="98" t="s">
        <v>24</v>
      </c>
      <c r="T8" s="98"/>
      <c r="U8" s="97" t="s">
        <v>25</v>
      </c>
      <c r="V8" s="98" t="s">
        <v>22</v>
      </c>
      <c r="W8" s="96"/>
      <c r="X8" s="149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7" s="9" customFormat="1" ht="17.25" customHeight="1">
      <c r="A9" s="97"/>
      <c r="B9" s="97"/>
      <c r="C9" s="97"/>
      <c r="D9" s="97"/>
      <c r="E9" s="97"/>
      <c r="F9" s="97"/>
      <c r="G9" s="97"/>
      <c r="H9" s="10" t="s">
        <v>26</v>
      </c>
      <c r="I9" s="10" t="s">
        <v>27</v>
      </c>
      <c r="J9" s="10" t="s">
        <v>26</v>
      </c>
      <c r="K9" s="11" t="s">
        <v>28</v>
      </c>
      <c r="L9" s="97"/>
      <c r="M9" s="97"/>
      <c r="N9" s="98"/>
      <c r="O9" s="98"/>
      <c r="P9" s="98"/>
      <c r="Q9" s="10" t="s">
        <v>29</v>
      </c>
      <c r="R9" s="11" t="s">
        <v>30</v>
      </c>
      <c r="S9" s="10" t="s">
        <v>29</v>
      </c>
      <c r="T9" s="11" t="s">
        <v>30</v>
      </c>
      <c r="U9" s="97"/>
      <c r="V9" s="98"/>
      <c r="W9" s="96"/>
      <c r="X9" s="150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7" s="44" customFormat="1" ht="25.5">
      <c r="A10" s="53" t="s">
        <v>371</v>
      </c>
      <c r="B10" s="94" t="s">
        <v>240</v>
      </c>
      <c r="C10" s="94" t="s">
        <v>448</v>
      </c>
      <c r="D10" s="29" t="s">
        <v>460</v>
      </c>
      <c r="E10" s="20" t="s">
        <v>60</v>
      </c>
      <c r="F10" s="53" t="s">
        <v>461</v>
      </c>
      <c r="G10" s="53" t="s">
        <v>36</v>
      </c>
      <c r="H10" s="53" t="s">
        <v>37</v>
      </c>
      <c r="I10" s="53" t="s">
        <v>38</v>
      </c>
      <c r="J10" s="53" t="s">
        <v>148</v>
      </c>
      <c r="K10" s="53" t="s">
        <v>183</v>
      </c>
      <c r="L10" s="69">
        <v>43691</v>
      </c>
      <c r="M10" s="69">
        <v>43693</v>
      </c>
      <c r="N10" s="70">
        <f>1303.98/2</f>
        <v>651.99</v>
      </c>
      <c r="O10" s="70">
        <f>1303.98/2</f>
        <v>651.99</v>
      </c>
      <c r="P10" s="70">
        <f t="shared" ref="P10:P18" si="0">SUM(N10:O10)</f>
        <v>1303.98</v>
      </c>
      <c r="Q10" s="53">
        <v>3</v>
      </c>
      <c r="R10" s="70">
        <v>120</v>
      </c>
      <c r="S10" s="53">
        <v>3</v>
      </c>
      <c r="T10" s="70">
        <v>100</v>
      </c>
      <c r="U10" s="70">
        <f>(Q10*R10)+(S10*T10)</f>
        <v>660</v>
      </c>
      <c r="V10" s="70">
        <f>U10+P10</f>
        <v>1963.98</v>
      </c>
      <c r="W10" s="70">
        <f>V10</f>
        <v>1963.98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3"/>
    </row>
    <row r="11" spans="1:47" s="44" customFormat="1" ht="25.5">
      <c r="A11" s="53" t="s">
        <v>371</v>
      </c>
      <c r="B11" s="94" t="s">
        <v>240</v>
      </c>
      <c r="C11" s="94" t="s">
        <v>140</v>
      </c>
      <c r="D11" s="29" t="s">
        <v>141</v>
      </c>
      <c r="E11" s="20" t="s">
        <v>411</v>
      </c>
      <c r="F11" s="53" t="s">
        <v>461</v>
      </c>
      <c r="G11" s="53" t="s">
        <v>36</v>
      </c>
      <c r="H11" s="53" t="s">
        <v>37</v>
      </c>
      <c r="I11" s="53" t="s">
        <v>38</v>
      </c>
      <c r="J11" s="53" t="s">
        <v>148</v>
      </c>
      <c r="K11" s="53" t="s">
        <v>183</v>
      </c>
      <c r="L11" s="69">
        <v>43691</v>
      </c>
      <c r="M11" s="69">
        <v>43693</v>
      </c>
      <c r="N11" s="70">
        <f>1390.68/2</f>
        <v>695.34</v>
      </c>
      <c r="O11" s="70">
        <f>1390.68/2</f>
        <v>695.34</v>
      </c>
      <c r="P11" s="70">
        <f t="shared" si="0"/>
        <v>1390.68</v>
      </c>
      <c r="Q11" s="53">
        <v>4</v>
      </c>
      <c r="R11" s="70">
        <v>120</v>
      </c>
      <c r="S11" s="53">
        <v>3</v>
      </c>
      <c r="T11" s="70">
        <v>100</v>
      </c>
      <c r="U11" s="70">
        <f t="shared" ref="U11:U20" si="1">(Q11*R11)+(S11*T11)</f>
        <v>780</v>
      </c>
      <c r="V11" s="70">
        <f t="shared" ref="V11:V18" si="2">U11+P11</f>
        <v>2170.6800000000003</v>
      </c>
      <c r="W11" s="70">
        <f t="shared" ref="W11:W37" si="3">V11</f>
        <v>2170.6800000000003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3"/>
    </row>
    <row r="12" spans="1:47" s="44" customFormat="1" ht="25.5">
      <c r="A12" s="53" t="s">
        <v>231</v>
      </c>
      <c r="B12" s="94" t="s">
        <v>221</v>
      </c>
      <c r="C12" s="94" t="s">
        <v>54</v>
      </c>
      <c r="D12" s="29" t="s">
        <v>88</v>
      </c>
      <c r="E12" s="20" t="s">
        <v>55</v>
      </c>
      <c r="F12" s="53" t="s">
        <v>461</v>
      </c>
      <c r="G12" s="53" t="s">
        <v>36</v>
      </c>
      <c r="H12" s="53" t="s">
        <v>37</v>
      </c>
      <c r="I12" s="53" t="s">
        <v>38</v>
      </c>
      <c r="J12" s="53" t="s">
        <v>148</v>
      </c>
      <c r="K12" s="53" t="s">
        <v>183</v>
      </c>
      <c r="L12" s="69">
        <v>43691</v>
      </c>
      <c r="M12" s="69">
        <v>43693</v>
      </c>
      <c r="N12" s="70">
        <f>1319.68/2</f>
        <v>659.84</v>
      </c>
      <c r="O12" s="70">
        <f>1319.68/2</f>
        <v>659.84</v>
      </c>
      <c r="P12" s="70">
        <f t="shared" si="0"/>
        <v>1319.68</v>
      </c>
      <c r="Q12" s="53">
        <v>5</v>
      </c>
      <c r="R12" s="70">
        <v>120</v>
      </c>
      <c r="S12" s="53">
        <v>0</v>
      </c>
      <c r="T12" s="70">
        <v>0</v>
      </c>
      <c r="U12" s="70">
        <f t="shared" si="1"/>
        <v>600</v>
      </c>
      <c r="V12" s="70">
        <f t="shared" si="2"/>
        <v>1919.68</v>
      </c>
      <c r="W12" s="70">
        <f t="shared" si="3"/>
        <v>1919.68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3"/>
    </row>
    <row r="13" spans="1:47" s="44" customFormat="1" ht="38.25">
      <c r="A13" s="53" t="s">
        <v>231</v>
      </c>
      <c r="B13" s="94" t="s">
        <v>462</v>
      </c>
      <c r="C13" s="94" t="s">
        <v>401</v>
      </c>
      <c r="D13" s="56" t="s">
        <v>402</v>
      </c>
      <c r="E13" s="66" t="s">
        <v>403</v>
      </c>
      <c r="F13" s="53" t="s">
        <v>463</v>
      </c>
      <c r="G13" s="53" t="s">
        <v>36</v>
      </c>
      <c r="H13" s="53" t="s">
        <v>37</v>
      </c>
      <c r="I13" s="53" t="s">
        <v>38</v>
      </c>
      <c r="J13" s="53" t="s">
        <v>464</v>
      </c>
      <c r="K13" s="53" t="s">
        <v>425</v>
      </c>
      <c r="L13" s="69">
        <v>43695</v>
      </c>
      <c r="M13" s="69">
        <v>43698</v>
      </c>
      <c r="N13" s="70">
        <f>1365.72/2</f>
        <v>682.86</v>
      </c>
      <c r="O13" s="70">
        <f>1365.72/2</f>
        <v>682.86</v>
      </c>
      <c r="P13" s="70">
        <f t="shared" si="0"/>
        <v>1365.72</v>
      </c>
      <c r="Q13" s="53">
        <v>4</v>
      </c>
      <c r="R13" s="70">
        <v>120</v>
      </c>
      <c r="S13" s="53">
        <v>0</v>
      </c>
      <c r="T13" s="70">
        <v>0</v>
      </c>
      <c r="U13" s="70">
        <f t="shared" si="1"/>
        <v>480</v>
      </c>
      <c r="V13" s="70">
        <f t="shared" si="2"/>
        <v>1845.72</v>
      </c>
      <c r="W13" s="70">
        <f t="shared" si="3"/>
        <v>1845.72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3"/>
    </row>
    <row r="14" spans="1:47" s="44" customFormat="1" ht="25.5">
      <c r="A14" s="53" t="s">
        <v>231</v>
      </c>
      <c r="B14" s="94" t="s">
        <v>229</v>
      </c>
      <c r="C14" s="94" t="s">
        <v>246</v>
      </c>
      <c r="D14" s="56" t="s">
        <v>247</v>
      </c>
      <c r="E14" s="66" t="s">
        <v>341</v>
      </c>
      <c r="F14" s="53" t="s">
        <v>465</v>
      </c>
      <c r="G14" s="53" t="s">
        <v>36</v>
      </c>
      <c r="H14" s="53" t="s">
        <v>37</v>
      </c>
      <c r="I14" s="53" t="s">
        <v>38</v>
      </c>
      <c r="J14" s="53" t="s">
        <v>39</v>
      </c>
      <c r="K14" s="53" t="s">
        <v>40</v>
      </c>
      <c r="L14" s="69">
        <v>43684</v>
      </c>
      <c r="M14" s="69">
        <v>43686</v>
      </c>
      <c r="N14" s="70">
        <f>1242.89/2</f>
        <v>621.44500000000005</v>
      </c>
      <c r="O14" s="70">
        <f>1242.89/2</f>
        <v>621.44500000000005</v>
      </c>
      <c r="P14" s="70">
        <f t="shared" si="0"/>
        <v>1242.8900000000001</v>
      </c>
      <c r="Q14" s="53">
        <v>3</v>
      </c>
      <c r="R14" s="70">
        <v>120</v>
      </c>
      <c r="S14" s="53">
        <v>2</v>
      </c>
      <c r="T14" s="70">
        <v>100</v>
      </c>
      <c r="U14" s="70">
        <f t="shared" si="1"/>
        <v>560</v>
      </c>
      <c r="V14" s="70">
        <f t="shared" si="2"/>
        <v>1802.89</v>
      </c>
      <c r="W14" s="70">
        <f t="shared" si="3"/>
        <v>1802.89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3"/>
    </row>
    <row r="15" spans="1:47" s="44" customFormat="1" ht="25.5">
      <c r="A15" s="53" t="s">
        <v>371</v>
      </c>
      <c r="B15" s="94" t="s">
        <v>396</v>
      </c>
      <c r="C15" s="94" t="s">
        <v>466</v>
      </c>
      <c r="D15" s="56" t="s">
        <v>467</v>
      </c>
      <c r="E15" s="66" t="s">
        <v>468</v>
      </c>
      <c r="F15" s="53" t="s">
        <v>469</v>
      </c>
      <c r="G15" s="53" t="s">
        <v>36</v>
      </c>
      <c r="H15" s="53" t="s">
        <v>37</v>
      </c>
      <c r="I15" s="53" t="s">
        <v>38</v>
      </c>
      <c r="J15" s="53" t="s">
        <v>148</v>
      </c>
      <c r="K15" s="53" t="s">
        <v>183</v>
      </c>
      <c r="L15" s="69">
        <v>43683</v>
      </c>
      <c r="M15" s="69">
        <v>43685</v>
      </c>
      <c r="N15" s="70">
        <f>1522.25/2</f>
        <v>761.125</v>
      </c>
      <c r="O15" s="70">
        <f>1522.25/2</f>
        <v>761.125</v>
      </c>
      <c r="P15" s="70">
        <f t="shared" si="0"/>
        <v>1522.25</v>
      </c>
      <c r="Q15" s="53">
        <v>3</v>
      </c>
      <c r="R15" s="70">
        <v>120</v>
      </c>
      <c r="S15" s="53">
        <v>0</v>
      </c>
      <c r="T15" s="70">
        <v>0</v>
      </c>
      <c r="U15" s="70">
        <f t="shared" si="1"/>
        <v>360</v>
      </c>
      <c r="V15" s="70">
        <f t="shared" si="2"/>
        <v>1882.25</v>
      </c>
      <c r="W15" s="70">
        <f t="shared" si="3"/>
        <v>1882.25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3"/>
    </row>
    <row r="16" spans="1:47" s="44" customFormat="1" ht="38.25">
      <c r="A16" s="53" t="s">
        <v>371</v>
      </c>
      <c r="B16" s="94" t="s">
        <v>371</v>
      </c>
      <c r="C16" s="94" t="s">
        <v>79</v>
      </c>
      <c r="D16" s="29" t="s">
        <v>77</v>
      </c>
      <c r="E16" s="20" t="s">
        <v>80</v>
      </c>
      <c r="F16" s="53" t="s">
        <v>470</v>
      </c>
      <c r="G16" s="53" t="s">
        <v>36</v>
      </c>
      <c r="H16" s="53" t="s">
        <v>37</v>
      </c>
      <c r="I16" s="53" t="s">
        <v>38</v>
      </c>
      <c r="J16" s="53" t="s">
        <v>39</v>
      </c>
      <c r="K16" s="53" t="s">
        <v>40</v>
      </c>
      <c r="L16" s="69">
        <v>43697</v>
      </c>
      <c r="M16" s="69">
        <v>43698</v>
      </c>
      <c r="N16" s="70">
        <f>1321.79/2</f>
        <v>660.89499999999998</v>
      </c>
      <c r="O16" s="70">
        <f>1321.79/2</f>
        <v>660.89499999999998</v>
      </c>
      <c r="P16" s="70">
        <f t="shared" si="0"/>
        <v>1321.79</v>
      </c>
      <c r="Q16" s="53">
        <v>0</v>
      </c>
      <c r="R16" s="70">
        <v>0</v>
      </c>
      <c r="S16" s="53">
        <v>0</v>
      </c>
      <c r="T16" s="70">
        <v>0</v>
      </c>
      <c r="U16" s="70">
        <f t="shared" si="1"/>
        <v>0</v>
      </c>
      <c r="V16" s="70">
        <f t="shared" si="2"/>
        <v>1321.79</v>
      </c>
      <c r="W16" s="70">
        <f t="shared" si="3"/>
        <v>1321.79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3"/>
    </row>
    <row r="17" spans="1:47" s="44" customFormat="1" ht="38.25">
      <c r="A17" s="53" t="s">
        <v>371</v>
      </c>
      <c r="B17" s="94" t="s">
        <v>226</v>
      </c>
      <c r="C17" s="94" t="s">
        <v>46</v>
      </c>
      <c r="D17" s="29" t="s">
        <v>69</v>
      </c>
      <c r="E17" s="20" t="s">
        <v>47</v>
      </c>
      <c r="F17" s="53" t="s">
        <v>471</v>
      </c>
      <c r="G17" s="53" t="s">
        <v>36</v>
      </c>
      <c r="H17" s="53" t="s">
        <v>37</v>
      </c>
      <c r="I17" s="53" t="s">
        <v>38</v>
      </c>
      <c r="J17" s="53" t="s">
        <v>39</v>
      </c>
      <c r="K17" s="53" t="s">
        <v>40</v>
      </c>
      <c r="L17" s="69">
        <v>43697</v>
      </c>
      <c r="M17" s="69">
        <v>43700</v>
      </c>
      <c r="N17" s="70">
        <f>1321.79/2</f>
        <v>660.89499999999998</v>
      </c>
      <c r="O17" s="70">
        <f>1321.79/2</f>
        <v>660.89499999999998</v>
      </c>
      <c r="P17" s="70">
        <f t="shared" si="0"/>
        <v>1321.79</v>
      </c>
      <c r="Q17" s="53">
        <v>7</v>
      </c>
      <c r="R17" s="70">
        <v>120</v>
      </c>
      <c r="S17" s="53">
        <v>0</v>
      </c>
      <c r="T17" s="70">
        <v>0</v>
      </c>
      <c r="U17" s="70">
        <f t="shared" si="1"/>
        <v>840</v>
      </c>
      <c r="V17" s="70">
        <f t="shared" si="2"/>
        <v>2161.79</v>
      </c>
      <c r="W17" s="70">
        <f t="shared" si="3"/>
        <v>2161.79</v>
      </c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3"/>
    </row>
    <row r="18" spans="1:47" s="44" customFormat="1" ht="29.25" customHeight="1">
      <c r="A18" s="53" t="s">
        <v>371</v>
      </c>
      <c r="B18" s="94" t="s">
        <v>226</v>
      </c>
      <c r="C18" s="94" t="s">
        <v>206</v>
      </c>
      <c r="D18" s="29" t="s">
        <v>207</v>
      </c>
      <c r="E18" s="20" t="s">
        <v>208</v>
      </c>
      <c r="F18" s="53" t="s">
        <v>472</v>
      </c>
      <c r="G18" s="53" t="s">
        <v>36</v>
      </c>
      <c r="H18" s="53" t="s">
        <v>37</v>
      </c>
      <c r="I18" s="53" t="s">
        <v>38</v>
      </c>
      <c r="J18" s="53" t="s">
        <v>39</v>
      </c>
      <c r="K18" s="53" t="s">
        <v>40</v>
      </c>
      <c r="L18" s="69">
        <v>43698</v>
      </c>
      <c r="M18" s="69">
        <v>43700</v>
      </c>
      <c r="N18" s="70">
        <f>1059.99/2</f>
        <v>529.995</v>
      </c>
      <c r="O18" s="70">
        <f>1059.99/2</f>
        <v>529.995</v>
      </c>
      <c r="P18" s="70">
        <f t="shared" si="0"/>
        <v>1059.99</v>
      </c>
      <c r="Q18" s="53">
        <v>6</v>
      </c>
      <c r="R18" s="70">
        <v>120</v>
      </c>
      <c r="S18" s="53">
        <v>0</v>
      </c>
      <c r="T18" s="70">
        <v>0</v>
      </c>
      <c r="U18" s="70">
        <f t="shared" si="1"/>
        <v>720</v>
      </c>
      <c r="V18" s="70">
        <f t="shared" si="2"/>
        <v>1779.99</v>
      </c>
      <c r="W18" s="70">
        <f t="shared" si="3"/>
        <v>1779.99</v>
      </c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3"/>
    </row>
    <row r="19" spans="1:47" s="44" customFormat="1" ht="25.5">
      <c r="A19" s="53" t="s">
        <v>371</v>
      </c>
      <c r="B19" s="94" t="s">
        <v>226</v>
      </c>
      <c r="C19" s="94" t="s">
        <v>473</v>
      </c>
      <c r="D19" s="29" t="s">
        <v>474</v>
      </c>
      <c r="E19" s="20" t="s">
        <v>475</v>
      </c>
      <c r="F19" s="53" t="s">
        <v>472</v>
      </c>
      <c r="G19" s="53" t="s">
        <v>36</v>
      </c>
      <c r="H19" s="53" t="s">
        <v>37</v>
      </c>
      <c r="I19" s="53" t="s">
        <v>38</v>
      </c>
      <c r="J19" s="53" t="s">
        <v>39</v>
      </c>
      <c r="K19" s="53" t="s">
        <v>40</v>
      </c>
      <c r="L19" s="69">
        <v>43698</v>
      </c>
      <c r="M19" s="69">
        <v>43700</v>
      </c>
      <c r="N19" s="70">
        <f>1004.99/2</f>
        <v>502.495</v>
      </c>
      <c r="O19" s="70">
        <f>1004.99/2</f>
        <v>502.495</v>
      </c>
      <c r="P19" s="70">
        <f>SUM(N19:O19)</f>
        <v>1004.99</v>
      </c>
      <c r="Q19" s="53">
        <v>5</v>
      </c>
      <c r="R19" s="70">
        <v>120</v>
      </c>
      <c r="S19" s="53">
        <v>0</v>
      </c>
      <c r="T19" s="70">
        <v>0</v>
      </c>
      <c r="U19" s="70">
        <f t="shared" si="1"/>
        <v>600</v>
      </c>
      <c r="V19" s="70">
        <f>U19+P19</f>
        <v>1604.99</v>
      </c>
      <c r="W19" s="70">
        <f t="shared" si="3"/>
        <v>1604.99</v>
      </c>
      <c r="X19" s="53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3"/>
    </row>
    <row r="20" spans="1:47" ht="25.5">
      <c r="A20" s="53" t="s">
        <v>371</v>
      </c>
      <c r="B20" s="94" t="s">
        <v>396</v>
      </c>
      <c r="C20" s="94" t="s">
        <v>466</v>
      </c>
      <c r="D20" s="56" t="s">
        <v>467</v>
      </c>
      <c r="E20" s="66" t="s">
        <v>468</v>
      </c>
      <c r="F20" s="53" t="s">
        <v>470</v>
      </c>
      <c r="G20" s="53" t="s">
        <v>36</v>
      </c>
      <c r="H20" s="53" t="s">
        <v>37</v>
      </c>
      <c r="I20" s="53" t="s">
        <v>38</v>
      </c>
      <c r="J20" s="53" t="s">
        <v>39</v>
      </c>
      <c r="K20" s="53" t="s">
        <v>40</v>
      </c>
      <c r="L20" s="69">
        <v>43697</v>
      </c>
      <c r="M20" s="69">
        <v>43698</v>
      </c>
      <c r="N20" s="70">
        <f>1321.79/2</f>
        <v>660.89499999999998</v>
      </c>
      <c r="O20" s="70">
        <f>1321.79/2</f>
        <v>660.89499999999998</v>
      </c>
      <c r="P20" s="70">
        <f t="shared" ref="P20:P37" si="4">SUM(N20:O20)</f>
        <v>1321.79</v>
      </c>
      <c r="Q20" s="53">
        <v>2</v>
      </c>
      <c r="R20" s="70">
        <v>120</v>
      </c>
      <c r="S20" s="53">
        <v>0</v>
      </c>
      <c r="T20" s="70">
        <v>0</v>
      </c>
      <c r="U20" s="70">
        <f t="shared" si="1"/>
        <v>240</v>
      </c>
      <c r="V20" s="70">
        <f>U20+P20</f>
        <v>1561.79</v>
      </c>
      <c r="W20" s="70">
        <f t="shared" si="3"/>
        <v>1561.79</v>
      </c>
      <c r="X20" s="53"/>
    </row>
    <row r="21" spans="1:47" ht="25.5">
      <c r="A21" s="53" t="s">
        <v>371</v>
      </c>
      <c r="B21" s="94" t="s">
        <v>396</v>
      </c>
      <c r="C21" s="94" t="s">
        <v>466</v>
      </c>
      <c r="D21" s="56" t="s">
        <v>467</v>
      </c>
      <c r="E21" s="66" t="s">
        <v>468</v>
      </c>
      <c r="F21" s="53" t="s">
        <v>476</v>
      </c>
      <c r="G21" s="53" t="s">
        <v>36</v>
      </c>
      <c r="H21" s="53" t="s">
        <v>37</v>
      </c>
      <c r="I21" s="53" t="s">
        <v>38</v>
      </c>
      <c r="J21" s="53" t="s">
        <v>116</v>
      </c>
      <c r="K21" s="53" t="s">
        <v>117</v>
      </c>
      <c r="L21" s="69">
        <v>43690</v>
      </c>
      <c r="M21" s="69">
        <v>43693</v>
      </c>
      <c r="N21" s="70">
        <f>913.01/2</f>
        <v>456.505</v>
      </c>
      <c r="O21" s="70">
        <f>913.01/2</f>
        <v>456.505</v>
      </c>
      <c r="P21" s="70">
        <f t="shared" si="4"/>
        <v>913.01</v>
      </c>
      <c r="Q21" s="53">
        <v>4</v>
      </c>
      <c r="R21" s="70">
        <v>120</v>
      </c>
      <c r="S21" s="53">
        <v>0</v>
      </c>
      <c r="T21" s="70">
        <v>0</v>
      </c>
      <c r="U21" s="70">
        <f t="shared" ref="U21:U37" si="5">(Q21*R21)+(S21*T21)</f>
        <v>480</v>
      </c>
      <c r="V21" s="70">
        <f t="shared" ref="V21:V37" si="6">U21+P21</f>
        <v>1393.01</v>
      </c>
      <c r="W21" s="70">
        <f t="shared" si="3"/>
        <v>1393.01</v>
      </c>
      <c r="X21" s="53"/>
    </row>
    <row r="22" spans="1:47" ht="25.5">
      <c r="A22" s="53" t="s">
        <v>371</v>
      </c>
      <c r="B22" s="94" t="s">
        <v>396</v>
      </c>
      <c r="C22" s="94" t="s">
        <v>267</v>
      </c>
      <c r="D22" s="29" t="s">
        <v>145</v>
      </c>
      <c r="E22" s="20" t="s">
        <v>399</v>
      </c>
      <c r="F22" s="53" t="s">
        <v>470</v>
      </c>
      <c r="G22" s="53" t="s">
        <v>36</v>
      </c>
      <c r="H22" s="53" t="s">
        <v>37</v>
      </c>
      <c r="I22" s="53" t="s">
        <v>38</v>
      </c>
      <c r="J22" s="53" t="s">
        <v>318</v>
      </c>
      <c r="K22" s="53" t="s">
        <v>40</v>
      </c>
      <c r="L22" s="69">
        <v>43697</v>
      </c>
      <c r="M22" s="69">
        <v>43698</v>
      </c>
      <c r="N22" s="70">
        <f>1509.58/2</f>
        <v>754.79</v>
      </c>
      <c r="O22" s="70">
        <f>1509.58/2</f>
        <v>754.79</v>
      </c>
      <c r="P22" s="70">
        <f t="shared" si="4"/>
        <v>1509.58</v>
      </c>
      <c r="Q22" s="53">
        <v>2</v>
      </c>
      <c r="R22" s="70">
        <v>120</v>
      </c>
      <c r="S22" s="53">
        <v>0</v>
      </c>
      <c r="T22" s="70">
        <v>0</v>
      </c>
      <c r="U22" s="70">
        <f t="shared" si="5"/>
        <v>240</v>
      </c>
      <c r="V22" s="70">
        <f t="shared" si="6"/>
        <v>1749.58</v>
      </c>
      <c r="W22" s="70">
        <f t="shared" si="3"/>
        <v>1749.58</v>
      </c>
      <c r="X22" s="53"/>
    </row>
    <row r="23" spans="1:47" ht="38.25">
      <c r="A23" s="53" t="s">
        <v>371</v>
      </c>
      <c r="B23" s="94" t="s">
        <v>240</v>
      </c>
      <c r="C23" s="94" t="s">
        <v>477</v>
      </c>
      <c r="D23" s="29" t="s">
        <v>135</v>
      </c>
      <c r="E23" s="20" t="s">
        <v>478</v>
      </c>
      <c r="F23" s="53" t="s">
        <v>479</v>
      </c>
      <c r="G23" s="53" t="s">
        <v>36</v>
      </c>
      <c r="H23" s="53" t="s">
        <v>37</v>
      </c>
      <c r="I23" s="53" t="s">
        <v>38</v>
      </c>
      <c r="J23" s="53" t="s">
        <v>318</v>
      </c>
      <c r="K23" s="53" t="s">
        <v>40</v>
      </c>
      <c r="L23" s="69">
        <v>43697</v>
      </c>
      <c r="M23" s="69">
        <v>43698</v>
      </c>
      <c r="N23" s="70">
        <f>1517.28/2</f>
        <v>758.64</v>
      </c>
      <c r="O23" s="70">
        <f>1517.28/2</f>
        <v>758.64</v>
      </c>
      <c r="P23" s="70">
        <f t="shared" si="4"/>
        <v>1517.28</v>
      </c>
      <c r="Q23" s="53">
        <v>2</v>
      </c>
      <c r="R23" s="70">
        <v>120</v>
      </c>
      <c r="S23" s="53">
        <v>2</v>
      </c>
      <c r="T23" s="70">
        <v>100</v>
      </c>
      <c r="U23" s="70">
        <f t="shared" si="5"/>
        <v>440</v>
      </c>
      <c r="V23" s="70">
        <f t="shared" si="6"/>
        <v>1957.28</v>
      </c>
      <c r="W23" s="70">
        <f t="shared" si="3"/>
        <v>1957.28</v>
      </c>
      <c r="X23" s="53"/>
    </row>
    <row r="24" spans="1:47" ht="25.5">
      <c r="A24" s="53" t="s">
        <v>371</v>
      </c>
      <c r="B24" s="94" t="s">
        <v>240</v>
      </c>
      <c r="C24" s="94" t="s">
        <v>140</v>
      </c>
      <c r="D24" s="29" t="s">
        <v>141</v>
      </c>
      <c r="E24" s="20" t="s">
        <v>411</v>
      </c>
      <c r="F24" s="53" t="s">
        <v>479</v>
      </c>
      <c r="G24" s="53" t="s">
        <v>36</v>
      </c>
      <c r="H24" s="53" t="s">
        <v>37</v>
      </c>
      <c r="I24" s="53" t="s">
        <v>38</v>
      </c>
      <c r="J24" s="53" t="s">
        <v>318</v>
      </c>
      <c r="K24" s="53" t="s">
        <v>40</v>
      </c>
      <c r="L24" s="69">
        <v>43697</v>
      </c>
      <c r="M24" s="69">
        <v>43698</v>
      </c>
      <c r="N24" s="70">
        <f>1517.28/2</f>
        <v>758.64</v>
      </c>
      <c r="O24" s="70">
        <f>1517.28/2</f>
        <v>758.64</v>
      </c>
      <c r="P24" s="70">
        <f t="shared" si="4"/>
        <v>1517.28</v>
      </c>
      <c r="Q24" s="53">
        <v>4</v>
      </c>
      <c r="R24" s="70">
        <v>120</v>
      </c>
      <c r="S24" s="53">
        <v>0</v>
      </c>
      <c r="T24" s="70">
        <v>0</v>
      </c>
      <c r="U24" s="70">
        <f t="shared" si="5"/>
        <v>480</v>
      </c>
      <c r="V24" s="70">
        <f t="shared" si="6"/>
        <v>1997.28</v>
      </c>
      <c r="W24" s="70">
        <f t="shared" si="3"/>
        <v>1997.28</v>
      </c>
      <c r="X24" s="53"/>
    </row>
    <row r="25" spans="1:47" ht="15" customHeight="1">
      <c r="A25" s="53" t="s">
        <v>371</v>
      </c>
      <c r="B25" s="94" t="s">
        <v>295</v>
      </c>
      <c r="C25" s="94" t="s">
        <v>480</v>
      </c>
      <c r="D25" s="29" t="s">
        <v>481</v>
      </c>
      <c r="E25" s="20" t="s">
        <v>475</v>
      </c>
      <c r="F25" s="53" t="s">
        <v>482</v>
      </c>
      <c r="G25" s="53" t="s">
        <v>36</v>
      </c>
      <c r="H25" s="53" t="s">
        <v>37</v>
      </c>
      <c r="I25" s="53" t="s">
        <v>38</v>
      </c>
      <c r="J25" s="53" t="s">
        <v>318</v>
      </c>
      <c r="K25" s="53" t="s">
        <v>40</v>
      </c>
      <c r="L25" s="69">
        <v>43690</v>
      </c>
      <c r="M25" s="69">
        <v>43692</v>
      </c>
      <c r="N25" s="70">
        <f>1712.38/2</f>
        <v>856.19</v>
      </c>
      <c r="O25" s="70">
        <f>1712.38/2</f>
        <v>856.19</v>
      </c>
      <c r="P25" s="70">
        <f t="shared" si="4"/>
        <v>1712.38</v>
      </c>
      <c r="Q25" s="53">
        <v>3</v>
      </c>
      <c r="R25" s="70">
        <v>120</v>
      </c>
      <c r="S25" s="53">
        <v>3</v>
      </c>
      <c r="T25" s="70">
        <v>100</v>
      </c>
      <c r="U25" s="70">
        <f t="shared" si="5"/>
        <v>660</v>
      </c>
      <c r="V25" s="70">
        <f t="shared" si="6"/>
        <v>2372.38</v>
      </c>
      <c r="W25" s="70">
        <f t="shared" si="3"/>
        <v>2372.38</v>
      </c>
      <c r="X25" s="53"/>
    </row>
    <row r="26" spans="1:47" ht="51">
      <c r="A26" s="53" t="s">
        <v>371</v>
      </c>
      <c r="B26" s="94" t="s">
        <v>295</v>
      </c>
      <c r="C26" s="94" t="s">
        <v>483</v>
      </c>
      <c r="D26" s="29" t="s">
        <v>300</v>
      </c>
      <c r="E26" s="20" t="s">
        <v>484</v>
      </c>
      <c r="F26" s="53" t="s">
        <v>482</v>
      </c>
      <c r="G26" s="53" t="s">
        <v>36</v>
      </c>
      <c r="H26" s="53" t="s">
        <v>37</v>
      </c>
      <c r="I26" s="53" t="s">
        <v>38</v>
      </c>
      <c r="J26" s="53" t="s">
        <v>318</v>
      </c>
      <c r="K26" s="53" t="s">
        <v>40</v>
      </c>
      <c r="L26" s="69">
        <v>43690</v>
      </c>
      <c r="M26" s="69">
        <v>43692</v>
      </c>
      <c r="N26" s="70">
        <f>1712.38/2</f>
        <v>856.19</v>
      </c>
      <c r="O26" s="70">
        <f>1712.38/2</f>
        <v>856.19</v>
      </c>
      <c r="P26" s="70">
        <f t="shared" si="4"/>
        <v>1712.38</v>
      </c>
      <c r="Q26" s="53">
        <v>3</v>
      </c>
      <c r="R26" s="70">
        <v>120</v>
      </c>
      <c r="S26" s="53">
        <v>3</v>
      </c>
      <c r="T26" s="70">
        <v>100</v>
      </c>
      <c r="U26" s="70">
        <f t="shared" si="5"/>
        <v>660</v>
      </c>
      <c r="V26" s="70">
        <f t="shared" si="6"/>
        <v>2372.38</v>
      </c>
      <c r="W26" s="70">
        <f t="shared" si="3"/>
        <v>2372.38</v>
      </c>
      <c r="X26" s="53"/>
    </row>
    <row r="27" spans="1:47" ht="25.5">
      <c r="A27" s="53" t="s">
        <v>231</v>
      </c>
      <c r="B27" s="94" t="s">
        <v>221</v>
      </c>
      <c r="C27" s="94" t="s">
        <v>54</v>
      </c>
      <c r="D27" s="29" t="s">
        <v>88</v>
      </c>
      <c r="E27" s="20" t="s">
        <v>55</v>
      </c>
      <c r="F27" s="53" t="s">
        <v>485</v>
      </c>
      <c r="G27" s="53" t="s">
        <v>36</v>
      </c>
      <c r="H27" s="53" t="s">
        <v>37</v>
      </c>
      <c r="I27" s="53" t="s">
        <v>38</v>
      </c>
      <c r="J27" s="53" t="s">
        <v>116</v>
      </c>
      <c r="K27" s="53" t="s">
        <v>117</v>
      </c>
      <c r="L27" s="69">
        <v>43684</v>
      </c>
      <c r="M27" s="69">
        <v>43685</v>
      </c>
      <c r="N27" s="70">
        <f>1364.01/2</f>
        <v>682.005</v>
      </c>
      <c r="O27" s="70">
        <f>1364.01/2</f>
        <v>682.005</v>
      </c>
      <c r="P27" s="70">
        <f t="shared" si="4"/>
        <v>1364.01</v>
      </c>
      <c r="Q27" s="53">
        <v>2</v>
      </c>
      <c r="R27" s="70">
        <v>120</v>
      </c>
      <c r="S27" s="53">
        <v>0</v>
      </c>
      <c r="T27" s="70">
        <v>0</v>
      </c>
      <c r="U27" s="70">
        <f t="shared" si="5"/>
        <v>240</v>
      </c>
      <c r="V27" s="70">
        <f t="shared" si="6"/>
        <v>1604.01</v>
      </c>
      <c r="W27" s="70">
        <f t="shared" si="3"/>
        <v>1604.01</v>
      </c>
      <c r="X27" s="53"/>
    </row>
    <row r="28" spans="1:47" ht="25.5">
      <c r="A28" s="53" t="s">
        <v>253</v>
      </c>
      <c r="B28" s="94" t="s">
        <v>253</v>
      </c>
      <c r="C28" s="94" t="s">
        <v>320</v>
      </c>
      <c r="D28" s="56" t="s">
        <v>321</v>
      </c>
      <c r="E28" s="20" t="s">
        <v>343</v>
      </c>
      <c r="F28" s="53" t="s">
        <v>485</v>
      </c>
      <c r="G28" s="53" t="s">
        <v>36</v>
      </c>
      <c r="H28" s="53" t="s">
        <v>37</v>
      </c>
      <c r="I28" s="53" t="s">
        <v>38</v>
      </c>
      <c r="J28" s="53" t="s">
        <v>116</v>
      </c>
      <c r="K28" s="53" t="s">
        <v>117</v>
      </c>
      <c r="L28" s="69">
        <v>43684</v>
      </c>
      <c r="M28" s="69">
        <v>43685</v>
      </c>
      <c r="N28" s="70">
        <f>1364.01/2</f>
        <v>682.005</v>
      </c>
      <c r="O28" s="70">
        <f>1364.01/2</f>
        <v>682.005</v>
      </c>
      <c r="P28" s="70">
        <f t="shared" si="4"/>
        <v>1364.01</v>
      </c>
      <c r="Q28" s="53">
        <v>2</v>
      </c>
      <c r="R28" s="70">
        <v>120</v>
      </c>
      <c r="S28" s="53">
        <v>0</v>
      </c>
      <c r="T28" s="70">
        <v>0</v>
      </c>
      <c r="U28" s="70">
        <f t="shared" si="5"/>
        <v>240</v>
      </c>
      <c r="V28" s="70">
        <f t="shared" si="6"/>
        <v>1604.01</v>
      </c>
      <c r="W28" s="70">
        <f t="shared" si="3"/>
        <v>1604.01</v>
      </c>
      <c r="X28" s="53"/>
    </row>
    <row r="29" spans="1:47" ht="25.5">
      <c r="A29" s="53" t="s">
        <v>253</v>
      </c>
      <c r="B29" s="94" t="s">
        <v>253</v>
      </c>
      <c r="C29" s="94" t="s">
        <v>486</v>
      </c>
      <c r="D29" s="29" t="s">
        <v>77</v>
      </c>
      <c r="E29" s="20" t="s">
        <v>50</v>
      </c>
      <c r="F29" s="53" t="s">
        <v>487</v>
      </c>
      <c r="G29" s="53" t="s">
        <v>36</v>
      </c>
      <c r="H29" s="53" t="s">
        <v>37</v>
      </c>
      <c r="I29" s="53" t="s">
        <v>38</v>
      </c>
      <c r="J29" s="53" t="s">
        <v>318</v>
      </c>
      <c r="K29" s="53" t="s">
        <v>40</v>
      </c>
      <c r="L29" s="69">
        <v>43688</v>
      </c>
      <c r="M29" s="69">
        <v>43689</v>
      </c>
      <c r="N29" s="70">
        <f>2499.98/2</f>
        <v>1249.99</v>
      </c>
      <c r="O29" s="70">
        <f>2499.98/2</f>
        <v>1249.99</v>
      </c>
      <c r="P29" s="70">
        <f t="shared" si="4"/>
        <v>2499.98</v>
      </c>
      <c r="Q29" s="53"/>
      <c r="R29" s="70"/>
      <c r="S29" s="53"/>
      <c r="T29" s="70"/>
      <c r="U29" s="70">
        <f t="shared" si="5"/>
        <v>0</v>
      </c>
      <c r="V29" s="70">
        <f t="shared" si="6"/>
        <v>2499.98</v>
      </c>
      <c r="W29" s="70">
        <f t="shared" si="3"/>
        <v>2499.98</v>
      </c>
      <c r="X29" s="53"/>
    </row>
    <row r="30" spans="1:47" ht="25.5">
      <c r="A30" s="53" t="s">
        <v>253</v>
      </c>
      <c r="B30" s="94" t="s">
        <v>253</v>
      </c>
      <c r="C30" s="94" t="s">
        <v>320</v>
      </c>
      <c r="D30" s="56" t="s">
        <v>321</v>
      </c>
      <c r="E30" s="20" t="s">
        <v>343</v>
      </c>
      <c r="F30" s="53" t="s">
        <v>487</v>
      </c>
      <c r="G30" s="53" t="s">
        <v>36</v>
      </c>
      <c r="H30" s="53" t="s">
        <v>37</v>
      </c>
      <c r="I30" s="53" t="s">
        <v>38</v>
      </c>
      <c r="J30" s="53" t="s">
        <v>318</v>
      </c>
      <c r="K30" s="53" t="s">
        <v>40</v>
      </c>
      <c r="L30" s="69">
        <v>43688</v>
      </c>
      <c r="M30" s="69">
        <v>43689</v>
      </c>
      <c r="N30" s="70">
        <f>2499.98/2</f>
        <v>1249.99</v>
      </c>
      <c r="O30" s="70">
        <f>2499.98/2</f>
        <v>1249.99</v>
      </c>
      <c r="P30" s="70">
        <f t="shared" si="4"/>
        <v>2499.98</v>
      </c>
      <c r="Q30" s="53">
        <v>2</v>
      </c>
      <c r="R30" s="70">
        <v>120</v>
      </c>
      <c r="S30" s="53"/>
      <c r="T30" s="70"/>
      <c r="U30" s="70">
        <f t="shared" si="5"/>
        <v>240</v>
      </c>
      <c r="V30" s="70">
        <f t="shared" si="6"/>
        <v>2739.98</v>
      </c>
      <c r="W30" s="70">
        <f t="shared" si="3"/>
        <v>2739.98</v>
      </c>
      <c r="X30" s="53"/>
    </row>
    <row r="31" spans="1:47" ht="25.5">
      <c r="A31" s="53" t="s">
        <v>231</v>
      </c>
      <c r="B31" s="94" t="s">
        <v>310</v>
      </c>
      <c r="C31" s="94" t="s">
        <v>439</v>
      </c>
      <c r="D31" s="29" t="s">
        <v>440</v>
      </c>
      <c r="E31" s="20" t="s">
        <v>488</v>
      </c>
      <c r="F31" s="71" t="s">
        <v>489</v>
      </c>
      <c r="G31" s="53" t="s">
        <v>36</v>
      </c>
      <c r="H31" s="53" t="s">
        <v>37</v>
      </c>
      <c r="I31" s="53" t="s">
        <v>38</v>
      </c>
      <c r="J31" s="53" t="s">
        <v>318</v>
      </c>
      <c r="K31" s="53" t="s">
        <v>40</v>
      </c>
      <c r="L31" s="69">
        <v>43705</v>
      </c>
      <c r="M31" s="69">
        <v>43706</v>
      </c>
      <c r="N31" s="70">
        <f>1813.58/2</f>
        <v>906.79</v>
      </c>
      <c r="O31" s="70">
        <f>1813.58/2</f>
        <v>906.79</v>
      </c>
      <c r="P31" s="70">
        <f t="shared" si="4"/>
        <v>1813.58</v>
      </c>
      <c r="Q31" s="53">
        <v>2</v>
      </c>
      <c r="R31" s="70">
        <v>120</v>
      </c>
      <c r="S31" s="53"/>
      <c r="T31" s="70"/>
      <c r="U31" s="70">
        <f t="shared" si="5"/>
        <v>240</v>
      </c>
      <c r="V31" s="70">
        <f t="shared" si="6"/>
        <v>2053.58</v>
      </c>
      <c r="W31" s="70">
        <f t="shared" si="3"/>
        <v>2053.58</v>
      </c>
      <c r="X31" s="53"/>
    </row>
    <row r="32" spans="1:47" ht="38.25">
      <c r="A32" s="53" t="s">
        <v>231</v>
      </c>
      <c r="B32" s="94" t="s">
        <v>229</v>
      </c>
      <c r="C32" s="94" t="s">
        <v>490</v>
      </c>
      <c r="D32" s="29" t="s">
        <v>491</v>
      </c>
      <c r="E32" s="20" t="s">
        <v>488</v>
      </c>
      <c r="F32" s="53" t="s">
        <v>492</v>
      </c>
      <c r="G32" s="53" t="s">
        <v>36</v>
      </c>
      <c r="H32" s="53" t="s">
        <v>37</v>
      </c>
      <c r="I32" s="53" t="s">
        <v>38</v>
      </c>
      <c r="J32" s="53" t="s">
        <v>62</v>
      </c>
      <c r="K32" s="53" t="s">
        <v>63</v>
      </c>
      <c r="L32" s="69">
        <v>43698</v>
      </c>
      <c r="M32" s="69">
        <v>43700</v>
      </c>
      <c r="N32" s="70">
        <f>1681.69/2</f>
        <v>840.84500000000003</v>
      </c>
      <c r="O32" s="70">
        <f>1681.69/2</f>
        <v>840.84500000000003</v>
      </c>
      <c r="P32" s="70">
        <f t="shared" si="4"/>
        <v>1681.69</v>
      </c>
      <c r="Q32" s="53">
        <v>3</v>
      </c>
      <c r="R32" s="70">
        <v>120</v>
      </c>
      <c r="S32" s="53"/>
      <c r="T32" s="70"/>
      <c r="U32" s="70">
        <f t="shared" si="5"/>
        <v>360</v>
      </c>
      <c r="V32" s="70">
        <f t="shared" si="6"/>
        <v>2041.69</v>
      </c>
      <c r="W32" s="70">
        <f t="shared" si="3"/>
        <v>2041.69</v>
      </c>
      <c r="X32" s="53"/>
    </row>
    <row r="33" spans="1:24" ht="25.5">
      <c r="A33" s="53" t="s">
        <v>253</v>
      </c>
      <c r="B33" s="94" t="s">
        <v>212</v>
      </c>
      <c r="C33" s="94" t="s">
        <v>100</v>
      </c>
      <c r="D33" s="29" t="s">
        <v>101</v>
      </c>
      <c r="E33" s="20" t="s">
        <v>493</v>
      </c>
      <c r="F33" s="53" t="s">
        <v>494</v>
      </c>
      <c r="G33" s="53" t="s">
        <v>36</v>
      </c>
      <c r="H33" s="53" t="s">
        <v>37</v>
      </c>
      <c r="I33" s="53" t="s">
        <v>38</v>
      </c>
      <c r="J33" s="53" t="s">
        <v>62</v>
      </c>
      <c r="K33" s="53" t="s">
        <v>414</v>
      </c>
      <c r="L33" s="69">
        <v>43702</v>
      </c>
      <c r="M33" s="69">
        <v>43706</v>
      </c>
      <c r="N33" s="70">
        <f>1896.52/2</f>
        <v>948.26</v>
      </c>
      <c r="O33" s="70">
        <f>1896.52/2</f>
        <v>948.26</v>
      </c>
      <c r="P33" s="70">
        <f t="shared" si="4"/>
        <v>1896.52</v>
      </c>
      <c r="Q33" s="53"/>
      <c r="R33" s="70"/>
      <c r="S33" s="53">
        <v>11</v>
      </c>
      <c r="T33" s="70">
        <v>100</v>
      </c>
      <c r="U33" s="70">
        <f t="shared" si="5"/>
        <v>1100</v>
      </c>
      <c r="V33" s="70">
        <f t="shared" si="6"/>
        <v>2996.52</v>
      </c>
      <c r="W33" s="70">
        <f t="shared" si="3"/>
        <v>2996.52</v>
      </c>
      <c r="X33" s="53"/>
    </row>
    <row r="34" spans="1:24" ht="25.5">
      <c r="A34" s="53" t="s">
        <v>371</v>
      </c>
      <c r="B34" s="94" t="s">
        <v>240</v>
      </c>
      <c r="C34" s="94" t="s">
        <v>140</v>
      </c>
      <c r="D34" s="29" t="s">
        <v>141</v>
      </c>
      <c r="E34" s="20" t="s">
        <v>411</v>
      </c>
      <c r="F34" s="53" t="s">
        <v>495</v>
      </c>
      <c r="G34" s="53" t="s">
        <v>36</v>
      </c>
      <c r="H34" s="53" t="s">
        <v>37</v>
      </c>
      <c r="I34" s="53" t="s">
        <v>38</v>
      </c>
      <c r="J34" s="53" t="s">
        <v>318</v>
      </c>
      <c r="K34" s="53" t="s">
        <v>40</v>
      </c>
      <c r="L34" s="69">
        <v>43688</v>
      </c>
      <c r="M34" s="69">
        <v>43689</v>
      </c>
      <c r="N34" s="70">
        <f>2391.78/2</f>
        <v>1195.8900000000001</v>
      </c>
      <c r="O34" s="70">
        <f>2391.78/2</f>
        <v>1195.8900000000001</v>
      </c>
      <c r="P34" s="70">
        <f t="shared" si="4"/>
        <v>2391.7800000000002</v>
      </c>
      <c r="Q34" s="53">
        <v>5</v>
      </c>
      <c r="R34" s="70">
        <v>120</v>
      </c>
      <c r="S34" s="53"/>
      <c r="T34" s="70"/>
      <c r="U34" s="70">
        <f t="shared" si="5"/>
        <v>600</v>
      </c>
      <c r="V34" s="70">
        <f t="shared" si="6"/>
        <v>2991.78</v>
      </c>
      <c r="W34" s="70">
        <f t="shared" si="3"/>
        <v>2991.78</v>
      </c>
      <c r="X34" s="53"/>
    </row>
    <row r="35" spans="1:24" ht="25.5">
      <c r="A35" s="53" t="s">
        <v>253</v>
      </c>
      <c r="B35" s="94" t="s">
        <v>288</v>
      </c>
      <c r="C35" s="94" t="s">
        <v>378</v>
      </c>
      <c r="D35" s="29" t="s">
        <v>379</v>
      </c>
      <c r="E35" s="20" t="s">
        <v>493</v>
      </c>
      <c r="F35" s="53" t="s">
        <v>496</v>
      </c>
      <c r="G35" s="53" t="s">
        <v>36</v>
      </c>
      <c r="H35" s="53" t="s">
        <v>37</v>
      </c>
      <c r="I35" s="53" t="s">
        <v>38</v>
      </c>
      <c r="J35" s="53" t="s">
        <v>62</v>
      </c>
      <c r="K35" s="53" t="s">
        <v>63</v>
      </c>
      <c r="L35" s="69">
        <v>43689</v>
      </c>
      <c r="M35" s="69">
        <v>43691</v>
      </c>
      <c r="N35" s="70">
        <f>2260.5/2</f>
        <v>1130.25</v>
      </c>
      <c r="O35" s="70">
        <f>2260.5/2</f>
        <v>1130.25</v>
      </c>
      <c r="P35" s="70">
        <f t="shared" si="4"/>
        <v>2260.5</v>
      </c>
      <c r="Q35" s="53">
        <v>3</v>
      </c>
      <c r="R35" s="70">
        <v>120</v>
      </c>
      <c r="S35" s="53"/>
      <c r="T35" s="70"/>
      <c r="U35" s="70">
        <f t="shared" si="5"/>
        <v>360</v>
      </c>
      <c r="V35" s="70">
        <f t="shared" si="6"/>
        <v>2620.5</v>
      </c>
      <c r="W35" s="70">
        <f t="shared" si="3"/>
        <v>2620.5</v>
      </c>
      <c r="X35" s="53"/>
    </row>
    <row r="36" spans="1:24" ht="38.25">
      <c r="A36" s="53" t="s">
        <v>253</v>
      </c>
      <c r="B36" s="94" t="s">
        <v>234</v>
      </c>
      <c r="C36" s="94" t="s">
        <v>237</v>
      </c>
      <c r="D36" s="29" t="s">
        <v>238</v>
      </c>
      <c r="E36" s="20" t="s">
        <v>497</v>
      </c>
      <c r="F36" s="53" t="s">
        <v>498</v>
      </c>
      <c r="G36" s="53" t="s">
        <v>36</v>
      </c>
      <c r="H36" s="53" t="s">
        <v>37</v>
      </c>
      <c r="I36" s="53" t="s">
        <v>38</v>
      </c>
      <c r="J36" s="53" t="s">
        <v>373</v>
      </c>
      <c r="K36" s="53" t="s">
        <v>374</v>
      </c>
      <c r="L36" s="69">
        <v>43698</v>
      </c>
      <c r="M36" s="69">
        <v>43700</v>
      </c>
      <c r="N36" s="70">
        <f>1029.37/2</f>
        <v>514.68499999999995</v>
      </c>
      <c r="O36" s="70">
        <f>1029.37/2</f>
        <v>514.68499999999995</v>
      </c>
      <c r="P36" s="70">
        <f t="shared" si="4"/>
        <v>1029.3699999999999</v>
      </c>
      <c r="Q36" s="53">
        <v>3</v>
      </c>
      <c r="R36" s="70">
        <v>120</v>
      </c>
      <c r="S36" s="53"/>
      <c r="T36" s="70"/>
      <c r="U36" s="70">
        <f t="shared" si="5"/>
        <v>360</v>
      </c>
      <c r="V36" s="70">
        <f t="shared" si="6"/>
        <v>1389.37</v>
      </c>
      <c r="W36" s="70">
        <f t="shared" si="3"/>
        <v>1389.37</v>
      </c>
      <c r="X36" s="53"/>
    </row>
    <row r="37" spans="1:24" ht="51">
      <c r="A37" s="53" t="s">
        <v>231</v>
      </c>
      <c r="B37" s="94" t="s">
        <v>229</v>
      </c>
      <c r="C37" s="94" t="s">
        <v>65</v>
      </c>
      <c r="D37" s="29" t="s">
        <v>66</v>
      </c>
      <c r="E37" s="20" t="s">
        <v>499</v>
      </c>
      <c r="F37" s="53" t="s">
        <v>500</v>
      </c>
      <c r="G37" s="53" t="s">
        <v>36</v>
      </c>
      <c r="H37" s="53" t="s">
        <v>37</v>
      </c>
      <c r="I37" s="53" t="s">
        <v>38</v>
      </c>
      <c r="J37" s="53" t="s">
        <v>62</v>
      </c>
      <c r="K37" s="53" t="s">
        <v>414</v>
      </c>
      <c r="L37" s="69">
        <v>43692</v>
      </c>
      <c r="M37" s="69">
        <v>43695</v>
      </c>
      <c r="N37" s="70">
        <f>3137.61/2</f>
        <v>1568.8050000000001</v>
      </c>
      <c r="O37" s="70">
        <f>3137.61/2</f>
        <v>1568.8050000000001</v>
      </c>
      <c r="P37" s="70">
        <f t="shared" si="4"/>
        <v>3137.61</v>
      </c>
      <c r="Q37" s="53">
        <v>4</v>
      </c>
      <c r="R37" s="70">
        <v>120</v>
      </c>
      <c r="S37" s="53"/>
      <c r="T37" s="70"/>
      <c r="U37" s="70">
        <f t="shared" si="5"/>
        <v>480</v>
      </c>
      <c r="V37" s="70">
        <f t="shared" si="6"/>
        <v>3617.61</v>
      </c>
      <c r="W37" s="70">
        <f t="shared" si="3"/>
        <v>3617.61</v>
      </c>
      <c r="X37" s="5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U37"/>
  <sheetViews>
    <sheetView topLeftCell="A6" workbookViewId="0">
      <selection activeCell="D13" sqref="D13:E13"/>
    </sheetView>
  </sheetViews>
  <sheetFormatPr defaultRowHeight="15" customHeight="1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2" width="18" customWidth="1"/>
    <col min="1003" max="1003" width="9" customWidth="1"/>
  </cols>
  <sheetData>
    <row r="1" spans="1:47" ht="14.25" hidden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62" t="s">
        <v>0</v>
      </c>
      <c r="W5" s="162"/>
      <c r="X5" s="72">
        <v>43586</v>
      </c>
    </row>
    <row r="6" spans="1:47">
      <c r="A6" s="96" t="s">
        <v>1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</row>
    <row r="7" spans="1:47">
      <c r="A7" s="96" t="s">
        <v>2</v>
      </c>
      <c r="B7" s="96"/>
      <c r="C7" s="96" t="s">
        <v>3</v>
      </c>
      <c r="D7" s="96"/>
      <c r="E7" s="96"/>
      <c r="F7" s="96" t="s">
        <v>4</v>
      </c>
      <c r="G7" s="96"/>
      <c r="H7" s="96"/>
      <c r="I7" s="96"/>
      <c r="J7" s="96"/>
      <c r="K7" s="96"/>
      <c r="L7" s="96"/>
      <c r="M7" s="96"/>
      <c r="N7" s="96" t="s">
        <v>5</v>
      </c>
      <c r="O7" s="96"/>
      <c r="P7" s="96"/>
      <c r="Q7" s="96" t="s">
        <v>6</v>
      </c>
      <c r="R7" s="96"/>
      <c r="S7" s="96"/>
      <c r="T7" s="96"/>
      <c r="U7" s="96"/>
      <c r="V7" s="96"/>
      <c r="W7" s="96" t="s">
        <v>7</v>
      </c>
      <c r="X7" s="149" t="s">
        <v>8</v>
      </c>
    </row>
    <row r="8" spans="1:47" s="9" customFormat="1">
      <c r="A8" s="97" t="s">
        <v>9</v>
      </c>
      <c r="B8" s="97" t="s">
        <v>10</v>
      </c>
      <c r="C8" s="97" t="s">
        <v>11</v>
      </c>
      <c r="D8" s="97" t="s">
        <v>12</v>
      </c>
      <c r="E8" s="97" t="s">
        <v>13</v>
      </c>
      <c r="F8" s="97" t="s">
        <v>14</v>
      </c>
      <c r="G8" s="97" t="s">
        <v>15</v>
      </c>
      <c r="H8" s="97" t="s">
        <v>16</v>
      </c>
      <c r="I8" s="97"/>
      <c r="J8" s="98" t="s">
        <v>17</v>
      </c>
      <c r="K8" s="98"/>
      <c r="L8" s="97" t="s">
        <v>18</v>
      </c>
      <c r="M8" s="97" t="s">
        <v>19</v>
      </c>
      <c r="N8" s="98" t="s">
        <v>20</v>
      </c>
      <c r="O8" s="98" t="s">
        <v>21</v>
      </c>
      <c r="P8" s="98" t="s">
        <v>22</v>
      </c>
      <c r="Q8" s="98" t="s">
        <v>23</v>
      </c>
      <c r="R8" s="98"/>
      <c r="S8" s="98" t="s">
        <v>24</v>
      </c>
      <c r="T8" s="98"/>
      <c r="U8" s="97" t="s">
        <v>25</v>
      </c>
      <c r="V8" s="98" t="s">
        <v>22</v>
      </c>
      <c r="W8" s="96"/>
      <c r="X8" s="149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7" s="9" customFormat="1" ht="17.25" customHeight="1">
      <c r="A9" s="97"/>
      <c r="B9" s="97"/>
      <c r="C9" s="97"/>
      <c r="D9" s="97"/>
      <c r="E9" s="97"/>
      <c r="F9" s="97"/>
      <c r="G9" s="97"/>
      <c r="H9" s="10" t="s">
        <v>26</v>
      </c>
      <c r="I9" s="10" t="s">
        <v>27</v>
      </c>
      <c r="J9" s="10" t="s">
        <v>26</v>
      </c>
      <c r="K9" s="11" t="s">
        <v>28</v>
      </c>
      <c r="L9" s="97"/>
      <c r="M9" s="97"/>
      <c r="N9" s="98"/>
      <c r="O9" s="98"/>
      <c r="P9" s="98"/>
      <c r="Q9" s="10" t="s">
        <v>29</v>
      </c>
      <c r="R9" s="11" t="s">
        <v>30</v>
      </c>
      <c r="S9" s="10" t="s">
        <v>29</v>
      </c>
      <c r="T9" s="11" t="s">
        <v>30</v>
      </c>
      <c r="U9" s="97"/>
      <c r="V9" s="98"/>
      <c r="W9" s="96"/>
      <c r="X9" s="150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7" s="44" customFormat="1" ht="25.5">
      <c r="A10" s="53" t="s">
        <v>231</v>
      </c>
      <c r="B10" s="94" t="s">
        <v>221</v>
      </c>
      <c r="C10" s="94" t="s">
        <v>277</v>
      </c>
      <c r="D10" s="29" t="s">
        <v>278</v>
      </c>
      <c r="E10" s="20" t="s">
        <v>501</v>
      </c>
      <c r="F10" s="53" t="s">
        <v>502</v>
      </c>
      <c r="G10" s="53" t="s">
        <v>36</v>
      </c>
      <c r="H10" s="53" t="s">
        <v>37</v>
      </c>
      <c r="I10" s="53" t="s">
        <v>38</v>
      </c>
      <c r="J10" s="53" t="s">
        <v>62</v>
      </c>
      <c r="K10" s="53" t="s">
        <v>63</v>
      </c>
      <c r="L10" s="69">
        <v>43726</v>
      </c>
      <c r="M10" s="69">
        <v>43727</v>
      </c>
      <c r="N10" s="70">
        <f>1366.1/2</f>
        <v>683.05</v>
      </c>
      <c r="O10" s="70">
        <f>1366.1/2</f>
        <v>683.05</v>
      </c>
      <c r="P10" s="70">
        <f t="shared" ref="P10:P37" si="0">SUM(N10:O10)</f>
        <v>1366.1</v>
      </c>
      <c r="Q10" s="53">
        <v>2</v>
      </c>
      <c r="R10" s="70">
        <v>120</v>
      </c>
      <c r="S10" s="53">
        <v>0</v>
      </c>
      <c r="T10" s="70">
        <v>0</v>
      </c>
      <c r="U10" s="70">
        <f>(Q10*R10)+(S10*T10)</f>
        <v>240</v>
      </c>
      <c r="V10" s="70">
        <f>U10+P10</f>
        <v>1606.1</v>
      </c>
      <c r="W10" s="70">
        <f>V10</f>
        <v>1606.1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3"/>
    </row>
    <row r="11" spans="1:47" s="44" customFormat="1" ht="25.5">
      <c r="A11" s="53" t="s">
        <v>231</v>
      </c>
      <c r="B11" s="94" t="s">
        <v>221</v>
      </c>
      <c r="C11" s="94" t="s">
        <v>54</v>
      </c>
      <c r="D11" s="29" t="s">
        <v>88</v>
      </c>
      <c r="E11" s="20" t="s">
        <v>55</v>
      </c>
      <c r="F11" s="53" t="s">
        <v>502</v>
      </c>
      <c r="G11" s="53" t="s">
        <v>36</v>
      </c>
      <c r="H11" s="53" t="s">
        <v>37</v>
      </c>
      <c r="I11" s="53" t="s">
        <v>38</v>
      </c>
      <c r="J11" s="53" t="s">
        <v>62</v>
      </c>
      <c r="K11" s="53" t="s">
        <v>63</v>
      </c>
      <c r="L11" s="69">
        <v>43726</v>
      </c>
      <c r="M11" s="69">
        <v>43727</v>
      </c>
      <c r="N11" s="70">
        <f>1366.1/2</f>
        <v>683.05</v>
      </c>
      <c r="O11" s="70">
        <f>1366.1/2</f>
        <v>683.05</v>
      </c>
      <c r="P11" s="70">
        <f t="shared" si="0"/>
        <v>1366.1</v>
      </c>
      <c r="Q11" s="53">
        <v>4</v>
      </c>
      <c r="R11" s="70">
        <v>120</v>
      </c>
      <c r="S11" s="53">
        <v>0</v>
      </c>
      <c r="T11" s="70">
        <v>0</v>
      </c>
      <c r="U11" s="70">
        <f t="shared" ref="U11:U37" si="1">(Q11*R11)+(S11*T11)</f>
        <v>480</v>
      </c>
      <c r="V11" s="70">
        <f t="shared" ref="V11:V37" si="2">U11+P11</f>
        <v>1846.1</v>
      </c>
      <c r="W11" s="70">
        <f t="shared" ref="W11:W37" si="3">V11</f>
        <v>1846.1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3"/>
    </row>
    <row r="12" spans="1:47" s="44" customFormat="1" ht="38.25">
      <c r="A12" s="53" t="s">
        <v>371</v>
      </c>
      <c r="B12" s="94" t="s">
        <v>273</v>
      </c>
      <c r="C12" s="94" t="s">
        <v>195</v>
      </c>
      <c r="D12" s="29" t="s">
        <v>196</v>
      </c>
      <c r="E12" s="20" t="s">
        <v>197</v>
      </c>
      <c r="F12" s="53" t="s">
        <v>503</v>
      </c>
      <c r="G12" s="53" t="s">
        <v>36</v>
      </c>
      <c r="H12" s="53" t="s">
        <v>37</v>
      </c>
      <c r="I12" s="53" t="s">
        <v>38</v>
      </c>
      <c r="J12" s="53" t="s">
        <v>504</v>
      </c>
      <c r="K12" s="53" t="s">
        <v>505</v>
      </c>
      <c r="L12" s="69">
        <v>43725</v>
      </c>
      <c r="M12" s="69">
        <v>43728</v>
      </c>
      <c r="N12" s="70">
        <f>1590.3/2</f>
        <v>795.15</v>
      </c>
      <c r="O12" s="70">
        <f>1590.3/2</f>
        <v>795.15</v>
      </c>
      <c r="P12" s="70">
        <f t="shared" si="0"/>
        <v>1590.3</v>
      </c>
      <c r="Q12" s="53">
        <v>4</v>
      </c>
      <c r="R12" s="70">
        <v>120</v>
      </c>
      <c r="S12" s="53">
        <v>0</v>
      </c>
      <c r="T12" s="70">
        <v>0</v>
      </c>
      <c r="U12" s="70">
        <f t="shared" si="1"/>
        <v>480</v>
      </c>
      <c r="V12" s="70">
        <f t="shared" si="2"/>
        <v>2070.3000000000002</v>
      </c>
      <c r="W12" s="70">
        <f t="shared" si="3"/>
        <v>2070.3000000000002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3"/>
    </row>
    <row r="13" spans="1:47" s="44" customFormat="1" ht="25.5">
      <c r="A13" s="53" t="s">
        <v>371</v>
      </c>
      <c r="B13" s="94" t="s">
        <v>273</v>
      </c>
      <c r="C13" s="94" t="s">
        <v>201</v>
      </c>
      <c r="D13" s="29" t="s">
        <v>202</v>
      </c>
      <c r="E13" s="20" t="s">
        <v>348</v>
      </c>
      <c r="F13" s="53" t="s">
        <v>503</v>
      </c>
      <c r="G13" s="53" t="s">
        <v>36</v>
      </c>
      <c r="H13" s="53" t="s">
        <v>37</v>
      </c>
      <c r="I13" s="53" t="s">
        <v>38</v>
      </c>
      <c r="J13" s="53" t="s">
        <v>504</v>
      </c>
      <c r="K13" s="53" t="s">
        <v>505</v>
      </c>
      <c r="L13" s="69">
        <v>43725</v>
      </c>
      <c r="M13" s="69">
        <v>43728</v>
      </c>
      <c r="N13" s="70">
        <f>1590.3/2</f>
        <v>795.15</v>
      </c>
      <c r="O13" s="70">
        <f>1590.3/2</f>
        <v>795.15</v>
      </c>
      <c r="P13" s="70">
        <f t="shared" si="0"/>
        <v>1590.3</v>
      </c>
      <c r="Q13" s="53">
        <v>6</v>
      </c>
      <c r="R13" s="70">
        <v>120</v>
      </c>
      <c r="S13" s="53">
        <v>0</v>
      </c>
      <c r="T13" s="70">
        <v>0</v>
      </c>
      <c r="U13" s="70">
        <f t="shared" si="1"/>
        <v>720</v>
      </c>
      <c r="V13" s="70">
        <f t="shared" si="2"/>
        <v>2310.3000000000002</v>
      </c>
      <c r="W13" s="70">
        <f t="shared" si="3"/>
        <v>2310.3000000000002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3"/>
    </row>
    <row r="14" spans="1:47" s="44" customFormat="1" ht="38.25">
      <c r="A14" s="53" t="s">
        <v>371</v>
      </c>
      <c r="B14" s="94" t="s">
        <v>396</v>
      </c>
      <c r="C14" s="94" t="s">
        <v>152</v>
      </c>
      <c r="D14" s="56" t="s">
        <v>153</v>
      </c>
      <c r="E14" s="66" t="s">
        <v>506</v>
      </c>
      <c r="F14" s="53" t="s">
        <v>507</v>
      </c>
      <c r="G14" s="53" t="s">
        <v>36</v>
      </c>
      <c r="H14" s="53" t="s">
        <v>37</v>
      </c>
      <c r="I14" s="53" t="s">
        <v>38</v>
      </c>
      <c r="J14" s="53" t="s">
        <v>373</v>
      </c>
      <c r="K14" s="53" t="s">
        <v>374</v>
      </c>
      <c r="L14" s="69">
        <v>43712</v>
      </c>
      <c r="M14" s="69">
        <v>43713</v>
      </c>
      <c r="N14" s="70">
        <f>1386.87/2</f>
        <v>693.43499999999995</v>
      </c>
      <c r="O14" s="70">
        <f>1386.87/2</f>
        <v>693.43499999999995</v>
      </c>
      <c r="P14" s="70">
        <f t="shared" si="0"/>
        <v>1386.87</v>
      </c>
      <c r="Q14" s="53">
        <v>2</v>
      </c>
      <c r="R14" s="70">
        <v>120</v>
      </c>
      <c r="S14" s="53">
        <v>0</v>
      </c>
      <c r="T14" s="70">
        <v>0</v>
      </c>
      <c r="U14" s="70">
        <f t="shared" si="1"/>
        <v>240</v>
      </c>
      <c r="V14" s="70">
        <f t="shared" si="2"/>
        <v>1626.87</v>
      </c>
      <c r="W14" s="70">
        <f t="shared" si="3"/>
        <v>1626.87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3"/>
    </row>
    <row r="15" spans="1:47" s="44" customFormat="1" ht="25.5">
      <c r="A15" s="53"/>
      <c r="B15" s="94" t="s">
        <v>215</v>
      </c>
      <c r="C15" s="94" t="s">
        <v>58</v>
      </c>
      <c r="D15" s="56" t="s">
        <v>59</v>
      </c>
      <c r="E15" s="20" t="s">
        <v>428</v>
      </c>
      <c r="F15" s="53" t="s">
        <v>508</v>
      </c>
      <c r="G15" s="53" t="s">
        <v>36</v>
      </c>
      <c r="H15" s="53" t="s">
        <v>37</v>
      </c>
      <c r="I15" s="53" t="s">
        <v>38</v>
      </c>
      <c r="J15" s="53" t="s">
        <v>62</v>
      </c>
      <c r="K15" s="53" t="s">
        <v>63</v>
      </c>
      <c r="L15" s="69">
        <v>43725</v>
      </c>
      <c r="M15" s="69">
        <v>43727</v>
      </c>
      <c r="N15" s="70">
        <f>1221.9/2</f>
        <v>610.95000000000005</v>
      </c>
      <c r="O15" s="70">
        <f>1221.9/2</f>
        <v>610.95000000000005</v>
      </c>
      <c r="P15" s="70">
        <f t="shared" si="0"/>
        <v>1221.9000000000001</v>
      </c>
      <c r="Q15" s="53">
        <v>6</v>
      </c>
      <c r="R15" s="70">
        <v>120</v>
      </c>
      <c r="S15" s="53">
        <v>0</v>
      </c>
      <c r="T15" s="70">
        <v>0</v>
      </c>
      <c r="U15" s="70">
        <f t="shared" si="1"/>
        <v>720</v>
      </c>
      <c r="V15" s="70">
        <f t="shared" si="2"/>
        <v>1941.9</v>
      </c>
      <c r="W15" s="70">
        <f t="shared" si="3"/>
        <v>1941.9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3"/>
    </row>
    <row r="16" spans="1:47" s="44" customFormat="1" ht="25.5">
      <c r="A16" s="53" t="s">
        <v>253</v>
      </c>
      <c r="B16" s="53" t="s">
        <v>253</v>
      </c>
      <c r="C16" s="94" t="s">
        <v>320</v>
      </c>
      <c r="D16" s="56" t="s">
        <v>321</v>
      </c>
      <c r="E16" s="20" t="s">
        <v>343</v>
      </c>
      <c r="F16" s="53" t="s">
        <v>509</v>
      </c>
      <c r="G16" s="53" t="s">
        <v>36</v>
      </c>
      <c r="H16" s="53" t="s">
        <v>37</v>
      </c>
      <c r="I16" s="53" t="s">
        <v>38</v>
      </c>
      <c r="J16" s="53" t="s">
        <v>39</v>
      </c>
      <c r="K16" s="53" t="s">
        <v>40</v>
      </c>
      <c r="L16" s="69">
        <v>43720</v>
      </c>
      <c r="M16" s="69">
        <v>43721</v>
      </c>
      <c r="N16" s="70">
        <f t="shared" ref="N16:O19" si="4">1297.79/2</f>
        <v>648.89499999999998</v>
      </c>
      <c r="O16" s="70">
        <f t="shared" si="4"/>
        <v>648.89499999999998</v>
      </c>
      <c r="P16" s="70">
        <f t="shared" si="0"/>
        <v>1297.79</v>
      </c>
      <c r="Q16" s="53">
        <v>2</v>
      </c>
      <c r="R16" s="70">
        <v>120</v>
      </c>
      <c r="S16" s="53">
        <v>0</v>
      </c>
      <c r="T16" s="70">
        <v>0</v>
      </c>
      <c r="U16" s="70">
        <f t="shared" si="1"/>
        <v>240</v>
      </c>
      <c r="V16" s="70">
        <f t="shared" si="2"/>
        <v>1537.79</v>
      </c>
      <c r="W16" s="70">
        <f t="shared" si="3"/>
        <v>1537.79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3"/>
    </row>
    <row r="17" spans="1:47" s="44" customFormat="1" ht="25.5">
      <c r="A17" s="53" t="s">
        <v>371</v>
      </c>
      <c r="B17" s="94" t="s">
        <v>371</v>
      </c>
      <c r="C17" s="94" t="s">
        <v>137</v>
      </c>
      <c r="D17" s="29" t="s">
        <v>138</v>
      </c>
      <c r="E17" s="20" t="s">
        <v>343</v>
      </c>
      <c r="F17" s="53" t="s">
        <v>509</v>
      </c>
      <c r="G17" s="53" t="s">
        <v>36</v>
      </c>
      <c r="H17" s="53" t="s">
        <v>37</v>
      </c>
      <c r="I17" s="53" t="s">
        <v>38</v>
      </c>
      <c r="J17" s="53" t="s">
        <v>39</v>
      </c>
      <c r="K17" s="53" t="s">
        <v>40</v>
      </c>
      <c r="L17" s="69">
        <v>43720</v>
      </c>
      <c r="M17" s="69">
        <v>43721</v>
      </c>
      <c r="N17" s="70">
        <f t="shared" si="4"/>
        <v>648.89499999999998</v>
      </c>
      <c r="O17" s="70">
        <f t="shared" si="4"/>
        <v>648.89499999999998</v>
      </c>
      <c r="P17" s="70">
        <f t="shared" si="0"/>
        <v>1297.79</v>
      </c>
      <c r="Q17" s="53">
        <v>2</v>
      </c>
      <c r="R17" s="70">
        <v>120</v>
      </c>
      <c r="S17" s="53">
        <v>0</v>
      </c>
      <c r="T17" s="70">
        <v>0</v>
      </c>
      <c r="U17" s="70">
        <f t="shared" si="1"/>
        <v>240</v>
      </c>
      <c r="V17" s="70">
        <f t="shared" si="2"/>
        <v>1537.79</v>
      </c>
      <c r="W17" s="70">
        <f t="shared" si="3"/>
        <v>1537.79</v>
      </c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3"/>
    </row>
    <row r="18" spans="1:47" s="44" customFormat="1" ht="36.75" customHeight="1">
      <c r="A18" s="53" t="s">
        <v>371</v>
      </c>
      <c r="B18" s="94" t="s">
        <v>371</v>
      </c>
      <c r="C18" s="94" t="s">
        <v>79</v>
      </c>
      <c r="D18" s="29" t="s">
        <v>77</v>
      </c>
      <c r="E18" s="20" t="s">
        <v>80</v>
      </c>
      <c r="F18" s="53" t="s">
        <v>509</v>
      </c>
      <c r="G18" s="53" t="s">
        <v>36</v>
      </c>
      <c r="H18" s="53" t="s">
        <v>37</v>
      </c>
      <c r="I18" s="53" t="s">
        <v>38</v>
      </c>
      <c r="J18" s="53" t="s">
        <v>39</v>
      </c>
      <c r="K18" s="53" t="s">
        <v>40</v>
      </c>
      <c r="L18" s="69">
        <v>43720</v>
      </c>
      <c r="M18" s="69">
        <v>43721</v>
      </c>
      <c r="N18" s="70">
        <f t="shared" si="4"/>
        <v>648.89499999999998</v>
      </c>
      <c r="O18" s="70">
        <f t="shared" si="4"/>
        <v>648.89499999999998</v>
      </c>
      <c r="P18" s="70">
        <f t="shared" si="0"/>
        <v>1297.79</v>
      </c>
      <c r="Q18" s="53">
        <v>0</v>
      </c>
      <c r="R18" s="70">
        <v>0</v>
      </c>
      <c r="S18" s="53">
        <v>0</v>
      </c>
      <c r="T18" s="70">
        <v>0</v>
      </c>
      <c r="U18" s="70">
        <f t="shared" si="1"/>
        <v>0</v>
      </c>
      <c r="V18" s="70">
        <f t="shared" si="2"/>
        <v>1297.79</v>
      </c>
      <c r="W18" s="70">
        <f t="shared" si="3"/>
        <v>1297.79</v>
      </c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3"/>
    </row>
    <row r="19" spans="1:47" s="44" customFormat="1" ht="25.5">
      <c r="A19" s="53" t="s">
        <v>231</v>
      </c>
      <c r="B19" s="94" t="s">
        <v>221</v>
      </c>
      <c r="C19" s="94" t="s">
        <v>54</v>
      </c>
      <c r="D19" s="29" t="s">
        <v>88</v>
      </c>
      <c r="E19" s="20" t="s">
        <v>55</v>
      </c>
      <c r="F19" s="53" t="s">
        <v>509</v>
      </c>
      <c r="G19" s="53" t="s">
        <v>36</v>
      </c>
      <c r="H19" s="53" t="s">
        <v>37</v>
      </c>
      <c r="I19" s="53" t="s">
        <v>38</v>
      </c>
      <c r="J19" s="53" t="s">
        <v>39</v>
      </c>
      <c r="K19" s="53" t="s">
        <v>40</v>
      </c>
      <c r="L19" s="69">
        <v>43720</v>
      </c>
      <c r="M19" s="69">
        <v>43721</v>
      </c>
      <c r="N19" s="70">
        <f t="shared" si="4"/>
        <v>648.89499999999998</v>
      </c>
      <c r="O19" s="70">
        <f t="shared" si="4"/>
        <v>648.89499999999998</v>
      </c>
      <c r="P19" s="70">
        <f t="shared" si="0"/>
        <v>1297.79</v>
      </c>
      <c r="Q19" s="53">
        <v>4</v>
      </c>
      <c r="R19" s="70">
        <v>120</v>
      </c>
      <c r="S19" s="53">
        <v>0</v>
      </c>
      <c r="T19" s="70">
        <v>0</v>
      </c>
      <c r="U19" s="70">
        <f t="shared" si="1"/>
        <v>480</v>
      </c>
      <c r="V19" s="70">
        <f t="shared" si="2"/>
        <v>1777.79</v>
      </c>
      <c r="W19" s="70">
        <f t="shared" si="3"/>
        <v>1777.79</v>
      </c>
      <c r="X19" s="53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3"/>
    </row>
    <row r="20" spans="1:47" ht="25.5">
      <c r="A20" s="53" t="s">
        <v>253</v>
      </c>
      <c r="B20" s="53" t="s">
        <v>253</v>
      </c>
      <c r="C20" s="94" t="s">
        <v>486</v>
      </c>
      <c r="D20" s="56" t="s">
        <v>107</v>
      </c>
      <c r="E20" s="66" t="s">
        <v>50</v>
      </c>
      <c r="F20" s="53" t="s">
        <v>509</v>
      </c>
      <c r="G20" s="53" t="s">
        <v>36</v>
      </c>
      <c r="H20" s="53" t="s">
        <v>37</v>
      </c>
      <c r="I20" s="53" t="s">
        <v>38</v>
      </c>
      <c r="J20" s="53" t="s">
        <v>39</v>
      </c>
      <c r="K20" s="53" t="s">
        <v>40</v>
      </c>
      <c r="L20" s="69">
        <v>43720</v>
      </c>
      <c r="M20" s="69">
        <v>43723</v>
      </c>
      <c r="N20" s="70">
        <f>1817.69/2</f>
        <v>908.84500000000003</v>
      </c>
      <c r="O20" s="70">
        <f>1817.69/2</f>
        <v>908.84500000000003</v>
      </c>
      <c r="P20" s="70">
        <f t="shared" si="0"/>
        <v>1817.69</v>
      </c>
      <c r="Q20" s="53">
        <v>0</v>
      </c>
      <c r="R20" s="70">
        <v>0</v>
      </c>
      <c r="S20" s="53">
        <v>0</v>
      </c>
      <c r="T20" s="70">
        <v>0</v>
      </c>
      <c r="U20" s="70">
        <f t="shared" si="1"/>
        <v>0</v>
      </c>
      <c r="V20" s="70">
        <f t="shared" si="2"/>
        <v>1817.69</v>
      </c>
      <c r="W20" s="70">
        <f t="shared" si="3"/>
        <v>1817.69</v>
      </c>
      <c r="X20" s="53"/>
    </row>
    <row r="21" spans="1:47" ht="25.5">
      <c r="A21" s="53" t="s">
        <v>371</v>
      </c>
      <c r="B21" s="94" t="s">
        <v>240</v>
      </c>
      <c r="C21" s="94" t="s">
        <v>140</v>
      </c>
      <c r="D21" s="29" t="s">
        <v>141</v>
      </c>
      <c r="E21" s="20" t="s">
        <v>411</v>
      </c>
      <c r="F21" s="53" t="s">
        <v>509</v>
      </c>
      <c r="G21" s="53" t="s">
        <v>36</v>
      </c>
      <c r="H21" s="53" t="s">
        <v>37</v>
      </c>
      <c r="I21" s="53" t="s">
        <v>38</v>
      </c>
      <c r="J21" s="53" t="s">
        <v>39</v>
      </c>
      <c r="K21" s="53" t="s">
        <v>40</v>
      </c>
      <c r="L21" s="69">
        <v>43720</v>
      </c>
      <c r="M21" s="69">
        <v>43721</v>
      </c>
      <c r="N21" s="70">
        <f>1297.79/2</f>
        <v>648.89499999999998</v>
      </c>
      <c r="O21" s="70">
        <f>1297.79/2</f>
        <v>648.89499999999998</v>
      </c>
      <c r="P21" s="70">
        <f t="shared" si="0"/>
        <v>1297.79</v>
      </c>
      <c r="Q21" s="53">
        <v>2</v>
      </c>
      <c r="R21" s="70">
        <v>120</v>
      </c>
      <c r="S21" s="53">
        <v>0</v>
      </c>
      <c r="T21" s="70">
        <v>0</v>
      </c>
      <c r="U21" s="70">
        <f t="shared" si="1"/>
        <v>240</v>
      </c>
      <c r="V21" s="70">
        <f t="shared" si="2"/>
        <v>1537.79</v>
      </c>
      <c r="W21" s="70">
        <f t="shared" si="3"/>
        <v>1537.79</v>
      </c>
      <c r="X21" s="53"/>
    </row>
    <row r="22" spans="1:47" ht="25.5">
      <c r="A22" s="53" t="s">
        <v>253</v>
      </c>
      <c r="B22" s="53" t="s">
        <v>253</v>
      </c>
      <c r="C22" s="94" t="s">
        <v>486</v>
      </c>
      <c r="D22" s="29" t="s">
        <v>107</v>
      </c>
      <c r="E22" s="66" t="s">
        <v>50</v>
      </c>
      <c r="F22" s="53" t="s">
        <v>510</v>
      </c>
      <c r="G22" s="53" t="s">
        <v>36</v>
      </c>
      <c r="H22" s="53" t="s">
        <v>37</v>
      </c>
      <c r="I22" s="53" t="s">
        <v>38</v>
      </c>
      <c r="J22" s="53" t="s">
        <v>39</v>
      </c>
      <c r="K22" s="53" t="s">
        <v>40</v>
      </c>
      <c r="L22" s="69">
        <v>43726</v>
      </c>
      <c r="M22" s="69">
        <v>43727</v>
      </c>
      <c r="N22" s="70">
        <f>1364.49/2</f>
        <v>682.245</v>
      </c>
      <c r="O22" s="70">
        <f>1364.49/2</f>
        <v>682.245</v>
      </c>
      <c r="P22" s="70">
        <f t="shared" si="0"/>
        <v>1364.49</v>
      </c>
      <c r="Q22" s="53">
        <v>0</v>
      </c>
      <c r="R22" s="70">
        <v>0</v>
      </c>
      <c r="S22" s="53">
        <v>0</v>
      </c>
      <c r="T22" s="70">
        <v>0</v>
      </c>
      <c r="U22" s="70">
        <f t="shared" si="1"/>
        <v>0</v>
      </c>
      <c r="V22" s="70">
        <f t="shared" si="2"/>
        <v>1364.49</v>
      </c>
      <c r="W22" s="70">
        <f t="shared" si="3"/>
        <v>1364.49</v>
      </c>
      <c r="X22" s="53"/>
    </row>
    <row r="23" spans="1:47" ht="25.5">
      <c r="A23" s="53" t="s">
        <v>231</v>
      </c>
      <c r="B23" s="94" t="s">
        <v>221</v>
      </c>
      <c r="C23" s="94" t="s">
        <v>54</v>
      </c>
      <c r="D23" s="29" t="s">
        <v>88</v>
      </c>
      <c r="E23" s="20" t="s">
        <v>55</v>
      </c>
      <c r="F23" s="53" t="s">
        <v>230</v>
      </c>
      <c r="G23" s="53" t="s">
        <v>36</v>
      </c>
      <c r="H23" s="53" t="s">
        <v>37</v>
      </c>
      <c r="I23" s="53" t="s">
        <v>38</v>
      </c>
      <c r="J23" s="53" t="s">
        <v>39</v>
      </c>
      <c r="K23" s="53" t="s">
        <v>40</v>
      </c>
      <c r="L23" s="69">
        <v>43733</v>
      </c>
      <c r="M23" s="69">
        <v>43734</v>
      </c>
      <c r="N23" s="70">
        <f>2424.89/2</f>
        <v>1212.4449999999999</v>
      </c>
      <c r="O23" s="70">
        <f>2424.89/2</f>
        <v>1212.4449999999999</v>
      </c>
      <c r="P23" s="70">
        <f t="shared" si="0"/>
        <v>2424.89</v>
      </c>
      <c r="Q23" s="53">
        <v>4</v>
      </c>
      <c r="R23" s="70">
        <v>120</v>
      </c>
      <c r="S23" s="53">
        <v>0</v>
      </c>
      <c r="T23" s="70">
        <v>0</v>
      </c>
      <c r="U23" s="70">
        <f t="shared" si="1"/>
        <v>480</v>
      </c>
      <c r="V23" s="70">
        <f t="shared" si="2"/>
        <v>2904.89</v>
      </c>
      <c r="W23" s="70">
        <f t="shared" si="3"/>
        <v>2904.89</v>
      </c>
      <c r="X23" s="53"/>
    </row>
    <row r="24" spans="1:47" ht="25.5">
      <c r="A24" s="53" t="s">
        <v>253</v>
      </c>
      <c r="B24" s="94" t="s">
        <v>288</v>
      </c>
      <c r="C24" s="94" t="s">
        <v>112</v>
      </c>
      <c r="D24" s="29" t="s">
        <v>113</v>
      </c>
      <c r="E24" s="20" t="s">
        <v>332</v>
      </c>
      <c r="F24" s="53" t="s">
        <v>511</v>
      </c>
      <c r="G24" s="53" t="s">
        <v>36</v>
      </c>
      <c r="H24" s="53" t="s">
        <v>37</v>
      </c>
      <c r="I24" s="53" t="s">
        <v>38</v>
      </c>
      <c r="J24" s="53" t="s">
        <v>62</v>
      </c>
      <c r="K24" s="53" t="s">
        <v>63</v>
      </c>
      <c r="L24" s="69">
        <v>43737</v>
      </c>
      <c r="M24" s="69">
        <v>43742</v>
      </c>
      <c r="N24" s="70">
        <f>1955.32/2</f>
        <v>977.66</v>
      </c>
      <c r="O24" s="70">
        <f>1955.32/2</f>
        <v>977.66</v>
      </c>
      <c r="P24" s="70">
        <f t="shared" si="0"/>
        <v>1955.32</v>
      </c>
      <c r="Q24" s="53">
        <v>6</v>
      </c>
      <c r="R24" s="70">
        <v>120</v>
      </c>
      <c r="S24" s="53">
        <v>0</v>
      </c>
      <c r="T24" s="70">
        <v>0</v>
      </c>
      <c r="U24" s="70">
        <f t="shared" si="1"/>
        <v>720</v>
      </c>
      <c r="V24" s="70">
        <f t="shared" si="2"/>
        <v>2675.3199999999997</v>
      </c>
      <c r="W24" s="70">
        <f t="shared" si="3"/>
        <v>2675.3199999999997</v>
      </c>
      <c r="X24" s="53"/>
    </row>
    <row r="25" spans="1:47" ht="15" customHeight="1">
      <c r="A25" s="53"/>
      <c r="B25" s="94"/>
      <c r="C25" s="94"/>
      <c r="D25" s="29"/>
      <c r="E25" s="20"/>
      <c r="F25" s="53"/>
      <c r="G25" s="53"/>
      <c r="H25" s="53"/>
      <c r="I25" s="53"/>
      <c r="J25" s="53"/>
      <c r="K25" s="53"/>
      <c r="L25" s="69"/>
      <c r="M25" s="69"/>
      <c r="N25" s="70"/>
      <c r="O25" s="70"/>
      <c r="P25" s="70">
        <f t="shared" si="0"/>
        <v>0</v>
      </c>
      <c r="Q25" s="53"/>
      <c r="R25" s="70"/>
      <c r="S25" s="53"/>
      <c r="T25" s="70"/>
      <c r="U25" s="70">
        <f t="shared" si="1"/>
        <v>0</v>
      </c>
      <c r="V25" s="70">
        <f t="shared" si="2"/>
        <v>0</v>
      </c>
      <c r="W25" s="70">
        <f t="shared" si="3"/>
        <v>0</v>
      </c>
      <c r="X25" s="53"/>
    </row>
    <row r="26" spans="1:47">
      <c r="A26" s="53"/>
      <c r="B26" s="94"/>
      <c r="C26" s="94"/>
      <c r="D26" s="29"/>
      <c r="E26" s="20"/>
      <c r="F26" s="53"/>
      <c r="G26" s="53"/>
      <c r="H26" s="53"/>
      <c r="I26" s="53"/>
      <c r="J26" s="53"/>
      <c r="K26" s="53"/>
      <c r="L26" s="69"/>
      <c r="M26" s="69"/>
      <c r="N26" s="70"/>
      <c r="O26" s="70"/>
      <c r="P26" s="70">
        <f t="shared" si="0"/>
        <v>0</v>
      </c>
      <c r="Q26" s="53"/>
      <c r="R26" s="70"/>
      <c r="S26" s="53"/>
      <c r="T26" s="70"/>
      <c r="U26" s="70">
        <f t="shared" si="1"/>
        <v>0</v>
      </c>
      <c r="V26" s="70">
        <f t="shared" si="2"/>
        <v>0</v>
      </c>
      <c r="W26" s="70">
        <f t="shared" si="3"/>
        <v>0</v>
      </c>
      <c r="X26" s="53"/>
    </row>
    <row r="27" spans="1:47">
      <c r="A27" s="53"/>
      <c r="B27" s="94"/>
      <c r="C27" s="94"/>
      <c r="D27" s="29"/>
      <c r="E27" s="20"/>
      <c r="F27" s="53"/>
      <c r="G27" s="53"/>
      <c r="H27" s="53"/>
      <c r="I27" s="53"/>
      <c r="J27" s="53"/>
      <c r="K27" s="53"/>
      <c r="L27" s="69"/>
      <c r="M27" s="69"/>
      <c r="N27" s="70"/>
      <c r="O27" s="70"/>
      <c r="P27" s="70">
        <f t="shared" si="0"/>
        <v>0</v>
      </c>
      <c r="Q27" s="53"/>
      <c r="R27" s="70"/>
      <c r="S27" s="53"/>
      <c r="T27" s="70"/>
      <c r="U27" s="70">
        <f t="shared" si="1"/>
        <v>0</v>
      </c>
      <c r="V27" s="70">
        <f t="shared" si="2"/>
        <v>0</v>
      </c>
      <c r="W27" s="70">
        <f t="shared" si="3"/>
        <v>0</v>
      </c>
      <c r="X27" s="53"/>
    </row>
    <row r="28" spans="1:47">
      <c r="A28" s="53"/>
      <c r="B28" s="94"/>
      <c r="C28" s="94"/>
      <c r="D28" s="56"/>
      <c r="E28" s="20"/>
      <c r="F28" s="53"/>
      <c r="G28" s="53"/>
      <c r="H28" s="53"/>
      <c r="I28" s="53"/>
      <c r="J28" s="53"/>
      <c r="K28" s="53"/>
      <c r="L28" s="69"/>
      <c r="M28" s="69"/>
      <c r="N28" s="70"/>
      <c r="O28" s="70"/>
      <c r="P28" s="70">
        <f t="shared" si="0"/>
        <v>0</v>
      </c>
      <c r="Q28" s="53"/>
      <c r="R28" s="70"/>
      <c r="S28" s="53"/>
      <c r="T28" s="70"/>
      <c r="U28" s="70">
        <f t="shared" si="1"/>
        <v>0</v>
      </c>
      <c r="V28" s="70">
        <f t="shared" si="2"/>
        <v>0</v>
      </c>
      <c r="W28" s="70">
        <f t="shared" si="3"/>
        <v>0</v>
      </c>
      <c r="X28" s="53"/>
    </row>
    <row r="29" spans="1:47">
      <c r="A29" s="53"/>
      <c r="B29" s="94"/>
      <c r="C29" s="94"/>
      <c r="D29" s="29"/>
      <c r="E29" s="20"/>
      <c r="F29" s="53"/>
      <c r="G29" s="53"/>
      <c r="H29" s="53"/>
      <c r="I29" s="53"/>
      <c r="J29" s="53"/>
      <c r="K29" s="53"/>
      <c r="L29" s="69"/>
      <c r="M29" s="69"/>
      <c r="N29" s="70"/>
      <c r="O29" s="70"/>
      <c r="P29" s="70">
        <f t="shared" si="0"/>
        <v>0</v>
      </c>
      <c r="Q29" s="53"/>
      <c r="R29" s="70"/>
      <c r="S29" s="53"/>
      <c r="T29" s="70"/>
      <c r="U29" s="70">
        <f t="shared" si="1"/>
        <v>0</v>
      </c>
      <c r="V29" s="70">
        <f t="shared" si="2"/>
        <v>0</v>
      </c>
      <c r="W29" s="70">
        <f t="shared" si="3"/>
        <v>0</v>
      </c>
      <c r="X29" s="53"/>
    </row>
    <row r="30" spans="1:47">
      <c r="A30" s="53"/>
      <c r="B30" s="94"/>
      <c r="C30" s="94"/>
      <c r="D30" s="56"/>
      <c r="E30" s="20"/>
      <c r="F30" s="53"/>
      <c r="G30" s="53"/>
      <c r="H30" s="53"/>
      <c r="I30" s="53"/>
      <c r="J30" s="53"/>
      <c r="K30" s="53"/>
      <c r="L30" s="69"/>
      <c r="M30" s="69"/>
      <c r="N30" s="70"/>
      <c r="O30" s="70"/>
      <c r="P30" s="70">
        <f t="shared" si="0"/>
        <v>0</v>
      </c>
      <c r="Q30" s="53"/>
      <c r="R30" s="70"/>
      <c r="S30" s="53"/>
      <c r="T30" s="70"/>
      <c r="U30" s="70">
        <f t="shared" si="1"/>
        <v>0</v>
      </c>
      <c r="V30" s="70">
        <f t="shared" si="2"/>
        <v>0</v>
      </c>
      <c r="W30" s="70">
        <f t="shared" si="3"/>
        <v>0</v>
      </c>
      <c r="X30" s="53"/>
    </row>
    <row r="31" spans="1:47">
      <c r="A31" s="53"/>
      <c r="B31" s="94"/>
      <c r="C31" s="94"/>
      <c r="D31" s="29"/>
      <c r="E31" s="20"/>
      <c r="F31" s="71"/>
      <c r="G31" s="53"/>
      <c r="H31" s="53"/>
      <c r="I31" s="53"/>
      <c r="J31" s="53"/>
      <c r="K31" s="53"/>
      <c r="L31" s="69"/>
      <c r="M31" s="69"/>
      <c r="N31" s="70"/>
      <c r="O31" s="70"/>
      <c r="P31" s="70">
        <f t="shared" si="0"/>
        <v>0</v>
      </c>
      <c r="Q31" s="53"/>
      <c r="R31" s="70"/>
      <c r="S31" s="53"/>
      <c r="T31" s="70"/>
      <c r="U31" s="70">
        <f t="shared" si="1"/>
        <v>0</v>
      </c>
      <c r="V31" s="70">
        <f t="shared" si="2"/>
        <v>0</v>
      </c>
      <c r="W31" s="70">
        <f t="shared" si="3"/>
        <v>0</v>
      </c>
      <c r="X31" s="53"/>
    </row>
    <row r="32" spans="1:47">
      <c r="A32" s="53"/>
      <c r="B32" s="94"/>
      <c r="C32" s="94"/>
      <c r="D32" s="29"/>
      <c r="E32" s="20"/>
      <c r="F32" s="53"/>
      <c r="G32" s="53"/>
      <c r="H32" s="53"/>
      <c r="I32" s="53"/>
      <c r="J32" s="53"/>
      <c r="K32" s="53"/>
      <c r="L32" s="69"/>
      <c r="M32" s="69"/>
      <c r="N32" s="70"/>
      <c r="O32" s="70"/>
      <c r="P32" s="70">
        <f t="shared" si="0"/>
        <v>0</v>
      </c>
      <c r="Q32" s="53"/>
      <c r="R32" s="70"/>
      <c r="S32" s="53"/>
      <c r="T32" s="70"/>
      <c r="U32" s="70">
        <f t="shared" si="1"/>
        <v>0</v>
      </c>
      <c r="V32" s="70">
        <f t="shared" si="2"/>
        <v>0</v>
      </c>
      <c r="W32" s="70">
        <f t="shared" si="3"/>
        <v>0</v>
      </c>
      <c r="X32" s="53"/>
    </row>
    <row r="33" spans="1:24">
      <c r="A33" s="53"/>
      <c r="B33" s="94"/>
      <c r="C33" s="94"/>
      <c r="D33" s="29"/>
      <c r="E33" s="20"/>
      <c r="F33" s="53"/>
      <c r="G33" s="53"/>
      <c r="H33" s="53"/>
      <c r="I33" s="53"/>
      <c r="J33" s="53"/>
      <c r="K33" s="53"/>
      <c r="L33" s="69"/>
      <c r="M33" s="69"/>
      <c r="N33" s="70"/>
      <c r="O33" s="70"/>
      <c r="P33" s="70">
        <f t="shared" si="0"/>
        <v>0</v>
      </c>
      <c r="Q33" s="53"/>
      <c r="R33" s="70"/>
      <c r="S33" s="53"/>
      <c r="T33" s="70"/>
      <c r="U33" s="70">
        <f t="shared" si="1"/>
        <v>0</v>
      </c>
      <c r="V33" s="70">
        <f t="shared" si="2"/>
        <v>0</v>
      </c>
      <c r="W33" s="70">
        <f t="shared" si="3"/>
        <v>0</v>
      </c>
      <c r="X33" s="53"/>
    </row>
    <row r="34" spans="1:24">
      <c r="A34" s="53"/>
      <c r="B34" s="94"/>
      <c r="C34" s="94"/>
      <c r="D34" s="29"/>
      <c r="E34" s="20"/>
      <c r="F34" s="53"/>
      <c r="G34" s="53"/>
      <c r="H34" s="53"/>
      <c r="I34" s="53"/>
      <c r="J34" s="53"/>
      <c r="K34" s="53"/>
      <c r="L34" s="69"/>
      <c r="M34" s="69"/>
      <c r="N34" s="70"/>
      <c r="O34" s="70"/>
      <c r="P34" s="70">
        <f t="shared" si="0"/>
        <v>0</v>
      </c>
      <c r="Q34" s="53"/>
      <c r="R34" s="70"/>
      <c r="S34" s="53"/>
      <c r="T34" s="70"/>
      <c r="U34" s="70">
        <f t="shared" si="1"/>
        <v>0</v>
      </c>
      <c r="V34" s="70">
        <f t="shared" si="2"/>
        <v>0</v>
      </c>
      <c r="W34" s="70">
        <f t="shared" si="3"/>
        <v>0</v>
      </c>
      <c r="X34" s="53"/>
    </row>
    <row r="35" spans="1:24">
      <c r="A35" s="53"/>
      <c r="B35" s="94"/>
      <c r="C35" s="94"/>
      <c r="D35" s="29"/>
      <c r="E35" s="20"/>
      <c r="F35" s="53"/>
      <c r="G35" s="53"/>
      <c r="H35" s="53"/>
      <c r="I35" s="53"/>
      <c r="J35" s="53"/>
      <c r="K35" s="53"/>
      <c r="L35" s="69"/>
      <c r="M35" s="69"/>
      <c r="N35" s="70"/>
      <c r="O35" s="70"/>
      <c r="P35" s="70">
        <f t="shared" si="0"/>
        <v>0</v>
      </c>
      <c r="Q35" s="53"/>
      <c r="R35" s="70"/>
      <c r="S35" s="53"/>
      <c r="T35" s="70"/>
      <c r="U35" s="70">
        <f t="shared" si="1"/>
        <v>0</v>
      </c>
      <c r="V35" s="70">
        <f t="shared" si="2"/>
        <v>0</v>
      </c>
      <c r="W35" s="70">
        <f t="shared" si="3"/>
        <v>0</v>
      </c>
      <c r="X35" s="53"/>
    </row>
    <row r="36" spans="1:24">
      <c r="A36" s="53"/>
      <c r="B36" s="94"/>
      <c r="C36" s="94"/>
      <c r="D36" s="29"/>
      <c r="E36" s="20"/>
      <c r="F36" s="53"/>
      <c r="G36" s="53"/>
      <c r="H36" s="53"/>
      <c r="I36" s="53"/>
      <c r="J36" s="53"/>
      <c r="K36" s="53"/>
      <c r="L36" s="69"/>
      <c r="M36" s="69"/>
      <c r="N36" s="70"/>
      <c r="O36" s="70"/>
      <c r="P36" s="70">
        <f t="shared" si="0"/>
        <v>0</v>
      </c>
      <c r="Q36" s="53"/>
      <c r="R36" s="70"/>
      <c r="S36" s="53"/>
      <c r="T36" s="70"/>
      <c r="U36" s="70">
        <f t="shared" si="1"/>
        <v>0</v>
      </c>
      <c r="V36" s="70">
        <f t="shared" si="2"/>
        <v>0</v>
      </c>
      <c r="W36" s="70">
        <f t="shared" si="3"/>
        <v>0</v>
      </c>
      <c r="X36" s="53"/>
    </row>
    <row r="37" spans="1:24">
      <c r="A37" s="53"/>
      <c r="B37" s="94"/>
      <c r="C37" s="94"/>
      <c r="D37" s="29"/>
      <c r="E37" s="20"/>
      <c r="F37" s="53"/>
      <c r="G37" s="53"/>
      <c r="H37" s="53"/>
      <c r="I37" s="53"/>
      <c r="J37" s="53"/>
      <c r="K37" s="53"/>
      <c r="L37" s="69"/>
      <c r="M37" s="69"/>
      <c r="N37" s="70"/>
      <c r="O37" s="70"/>
      <c r="P37" s="70">
        <f t="shared" si="0"/>
        <v>0</v>
      </c>
      <c r="Q37" s="53"/>
      <c r="R37" s="70"/>
      <c r="S37" s="53"/>
      <c r="T37" s="70"/>
      <c r="U37" s="70">
        <f t="shared" si="1"/>
        <v>0</v>
      </c>
      <c r="V37" s="70">
        <f t="shared" si="2"/>
        <v>0</v>
      </c>
      <c r="W37" s="70">
        <f t="shared" si="3"/>
        <v>0</v>
      </c>
      <c r="X37" s="5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U37"/>
  <sheetViews>
    <sheetView topLeftCell="A15" workbookViewId="0">
      <selection activeCell="C28" sqref="C28"/>
    </sheetView>
  </sheetViews>
  <sheetFormatPr defaultRowHeight="15" customHeight="1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2" width="18" customWidth="1"/>
    <col min="1003" max="1003" width="9" customWidth="1"/>
  </cols>
  <sheetData>
    <row r="1" spans="1:47" ht="14.25" hidden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62" t="s">
        <v>0</v>
      </c>
      <c r="W5" s="162"/>
      <c r="X5" s="72">
        <v>43586</v>
      </c>
    </row>
    <row r="6" spans="1:47">
      <c r="A6" s="96" t="s">
        <v>1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</row>
    <row r="7" spans="1:47">
      <c r="A7" s="96" t="s">
        <v>2</v>
      </c>
      <c r="B7" s="96"/>
      <c r="C7" s="96" t="s">
        <v>3</v>
      </c>
      <c r="D7" s="96"/>
      <c r="E7" s="96"/>
      <c r="F7" s="96" t="s">
        <v>4</v>
      </c>
      <c r="G7" s="96"/>
      <c r="H7" s="96"/>
      <c r="I7" s="96"/>
      <c r="J7" s="96"/>
      <c r="K7" s="96"/>
      <c r="L7" s="96"/>
      <c r="M7" s="96"/>
      <c r="N7" s="96" t="s">
        <v>5</v>
      </c>
      <c r="O7" s="96"/>
      <c r="P7" s="96"/>
      <c r="Q7" s="96" t="s">
        <v>6</v>
      </c>
      <c r="R7" s="96"/>
      <c r="S7" s="96"/>
      <c r="T7" s="96"/>
      <c r="U7" s="96"/>
      <c r="V7" s="96"/>
      <c r="W7" s="96" t="s">
        <v>7</v>
      </c>
      <c r="X7" s="149" t="s">
        <v>8</v>
      </c>
    </row>
    <row r="8" spans="1:47" s="9" customFormat="1">
      <c r="A8" s="97" t="s">
        <v>9</v>
      </c>
      <c r="B8" s="97" t="s">
        <v>10</v>
      </c>
      <c r="C8" s="97" t="s">
        <v>11</v>
      </c>
      <c r="D8" s="97" t="s">
        <v>12</v>
      </c>
      <c r="E8" s="97" t="s">
        <v>13</v>
      </c>
      <c r="F8" s="97" t="s">
        <v>14</v>
      </c>
      <c r="G8" s="97" t="s">
        <v>15</v>
      </c>
      <c r="H8" s="97" t="s">
        <v>16</v>
      </c>
      <c r="I8" s="97"/>
      <c r="J8" s="98" t="s">
        <v>17</v>
      </c>
      <c r="K8" s="98"/>
      <c r="L8" s="97" t="s">
        <v>18</v>
      </c>
      <c r="M8" s="97" t="s">
        <v>19</v>
      </c>
      <c r="N8" s="98" t="s">
        <v>20</v>
      </c>
      <c r="O8" s="98" t="s">
        <v>21</v>
      </c>
      <c r="P8" s="98" t="s">
        <v>22</v>
      </c>
      <c r="Q8" s="98" t="s">
        <v>23</v>
      </c>
      <c r="R8" s="98"/>
      <c r="S8" s="98" t="s">
        <v>24</v>
      </c>
      <c r="T8" s="98"/>
      <c r="U8" s="97" t="s">
        <v>25</v>
      </c>
      <c r="V8" s="98" t="s">
        <v>22</v>
      </c>
      <c r="W8" s="96"/>
      <c r="X8" s="149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7" s="9" customFormat="1" ht="17.25" customHeight="1">
      <c r="A9" s="97"/>
      <c r="B9" s="97"/>
      <c r="C9" s="97"/>
      <c r="D9" s="97"/>
      <c r="E9" s="97"/>
      <c r="F9" s="97"/>
      <c r="G9" s="97"/>
      <c r="H9" s="10" t="s">
        <v>26</v>
      </c>
      <c r="I9" s="10" t="s">
        <v>27</v>
      </c>
      <c r="J9" s="10" t="s">
        <v>26</v>
      </c>
      <c r="K9" s="11" t="s">
        <v>28</v>
      </c>
      <c r="L9" s="97"/>
      <c r="M9" s="97"/>
      <c r="N9" s="98"/>
      <c r="O9" s="98"/>
      <c r="P9" s="98"/>
      <c r="Q9" s="10" t="s">
        <v>29</v>
      </c>
      <c r="R9" s="11" t="s">
        <v>30</v>
      </c>
      <c r="S9" s="10" t="s">
        <v>29</v>
      </c>
      <c r="T9" s="11" t="s">
        <v>30</v>
      </c>
      <c r="U9" s="97"/>
      <c r="V9" s="98"/>
      <c r="W9" s="96"/>
      <c r="X9" s="150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7" s="44" customFormat="1" ht="38.25">
      <c r="A10" s="94" t="s">
        <v>512</v>
      </c>
      <c r="B10" s="94" t="s">
        <v>259</v>
      </c>
      <c r="C10" s="76" t="s">
        <v>383</v>
      </c>
      <c r="D10" s="29" t="s">
        <v>384</v>
      </c>
      <c r="E10" s="20" t="s">
        <v>513</v>
      </c>
      <c r="F10" s="53" t="s">
        <v>514</v>
      </c>
      <c r="G10" s="53" t="s">
        <v>36</v>
      </c>
      <c r="H10" s="53" t="s">
        <v>37</v>
      </c>
      <c r="I10" s="53" t="s">
        <v>38</v>
      </c>
      <c r="J10" s="53" t="s">
        <v>39</v>
      </c>
      <c r="K10" s="53" t="s">
        <v>40</v>
      </c>
      <c r="L10" s="69">
        <v>43760</v>
      </c>
      <c r="M10" s="69">
        <v>43763</v>
      </c>
      <c r="N10" s="70">
        <v>1297.79</v>
      </c>
      <c r="O10" s="70">
        <v>650.12</v>
      </c>
      <c r="P10" s="70">
        <f t="shared" ref="P10:P37" si="0">SUM(N10:O10)</f>
        <v>1947.9099999999999</v>
      </c>
      <c r="Q10" s="53">
        <v>4</v>
      </c>
      <c r="R10" s="70">
        <v>120</v>
      </c>
      <c r="S10" s="53">
        <v>0</v>
      </c>
      <c r="T10" s="70">
        <v>0</v>
      </c>
      <c r="U10" s="70">
        <f>(Q10*R10)+(S10*T10)</f>
        <v>480</v>
      </c>
      <c r="V10" s="70">
        <f>U10+P10</f>
        <v>2427.91</v>
      </c>
      <c r="W10" s="70">
        <f>V10</f>
        <v>2427.91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3"/>
    </row>
    <row r="11" spans="1:47" s="44" customFormat="1" ht="51">
      <c r="A11" s="94" t="s">
        <v>512</v>
      </c>
      <c r="B11" s="94" t="s">
        <v>259</v>
      </c>
      <c r="C11" s="94" t="s">
        <v>433</v>
      </c>
      <c r="D11" s="29" t="s">
        <v>434</v>
      </c>
      <c r="E11" s="20" t="s">
        <v>515</v>
      </c>
      <c r="F11" s="53" t="s">
        <v>514</v>
      </c>
      <c r="G11" s="53" t="s">
        <v>36</v>
      </c>
      <c r="H11" s="53" t="s">
        <v>37</v>
      </c>
      <c r="I11" s="53" t="s">
        <v>38</v>
      </c>
      <c r="J11" s="53" t="s">
        <v>39</v>
      </c>
      <c r="K11" s="53" t="s">
        <v>40</v>
      </c>
      <c r="L11" s="69">
        <v>43760</v>
      </c>
      <c r="M11" s="69">
        <v>43763</v>
      </c>
      <c r="N11" s="70">
        <f>1562.38
/2</f>
        <v>781.19</v>
      </c>
      <c r="O11" s="70">
        <f>1562.38
/2</f>
        <v>781.19</v>
      </c>
      <c r="P11" s="70">
        <f t="shared" si="0"/>
        <v>1562.38</v>
      </c>
      <c r="Q11" s="53">
        <v>4</v>
      </c>
      <c r="R11" s="70">
        <v>120</v>
      </c>
      <c r="S11" s="53">
        <v>0</v>
      </c>
      <c r="T11" s="70">
        <v>0</v>
      </c>
      <c r="U11" s="70">
        <f t="shared" ref="U11:U37" si="1">(Q11*R11)+(S11*T11)</f>
        <v>480</v>
      </c>
      <c r="V11" s="70">
        <f t="shared" ref="V11:V37" si="2">U11+P11</f>
        <v>2042.38</v>
      </c>
      <c r="W11" s="70">
        <f t="shared" ref="W11:W37" si="3">V11</f>
        <v>2042.38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3"/>
    </row>
    <row r="12" spans="1:47" s="44" customFormat="1" ht="25.5">
      <c r="A12" s="94" t="s">
        <v>512</v>
      </c>
      <c r="B12" s="94" t="s">
        <v>512</v>
      </c>
      <c r="C12" s="76" t="s">
        <v>320</v>
      </c>
      <c r="D12" s="56" t="s">
        <v>321</v>
      </c>
      <c r="E12" s="20" t="s">
        <v>343</v>
      </c>
      <c r="F12" s="53" t="s">
        <v>514</v>
      </c>
      <c r="G12" s="53" t="s">
        <v>36</v>
      </c>
      <c r="H12" s="53" t="s">
        <v>37</v>
      </c>
      <c r="I12" s="53" t="s">
        <v>38</v>
      </c>
      <c r="J12" s="53" t="s">
        <v>39</v>
      </c>
      <c r="K12" s="53" t="s">
        <v>40</v>
      </c>
      <c r="L12" s="69">
        <v>43760</v>
      </c>
      <c r="M12" s="69">
        <v>43763</v>
      </c>
      <c r="N12" s="70">
        <v>1297.79</v>
      </c>
      <c r="O12" s="70">
        <v>650.12</v>
      </c>
      <c r="P12" s="70">
        <f t="shared" si="0"/>
        <v>1947.9099999999999</v>
      </c>
      <c r="Q12" s="53">
        <v>0</v>
      </c>
      <c r="R12" s="70">
        <v>0</v>
      </c>
      <c r="S12" s="53">
        <v>0</v>
      </c>
      <c r="T12" s="70">
        <v>0</v>
      </c>
      <c r="U12" s="70">
        <f t="shared" si="1"/>
        <v>0</v>
      </c>
      <c r="V12" s="70">
        <f t="shared" si="2"/>
        <v>1947.9099999999999</v>
      </c>
      <c r="W12" s="70">
        <f t="shared" si="3"/>
        <v>1947.9099999999999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3"/>
    </row>
    <row r="13" spans="1:47" s="44" customFormat="1" ht="30">
      <c r="A13" s="94" t="s">
        <v>512</v>
      </c>
      <c r="B13" s="94" t="s">
        <v>288</v>
      </c>
      <c r="C13" s="163" t="s">
        <v>516</v>
      </c>
      <c r="D13" s="29" t="s">
        <v>517</v>
      </c>
      <c r="E13" s="20" t="s">
        <v>518</v>
      </c>
      <c r="F13" s="53" t="s">
        <v>519</v>
      </c>
      <c r="G13" s="53" t="s">
        <v>36</v>
      </c>
      <c r="H13" s="53" t="s">
        <v>37</v>
      </c>
      <c r="I13" s="53" t="s">
        <v>38</v>
      </c>
      <c r="J13" s="53" t="s">
        <v>109</v>
      </c>
      <c r="K13" s="53" t="s">
        <v>110</v>
      </c>
      <c r="L13" s="69">
        <v>43739</v>
      </c>
      <c r="M13" s="69">
        <v>43740</v>
      </c>
      <c r="N13" s="70">
        <f>444.88/2</f>
        <v>222.44</v>
      </c>
      <c r="O13" s="70">
        <f>444.88/2</f>
        <v>222.44</v>
      </c>
      <c r="P13" s="70">
        <f t="shared" si="0"/>
        <v>444.88</v>
      </c>
      <c r="Q13" s="53">
        <v>2</v>
      </c>
      <c r="R13" s="70">
        <v>120</v>
      </c>
      <c r="S13" s="53">
        <v>0</v>
      </c>
      <c r="T13" s="70">
        <v>0</v>
      </c>
      <c r="U13" s="70">
        <f t="shared" si="1"/>
        <v>240</v>
      </c>
      <c r="V13" s="70">
        <f t="shared" si="2"/>
        <v>684.88</v>
      </c>
      <c r="W13" s="70">
        <f t="shared" si="3"/>
        <v>684.88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3"/>
    </row>
    <row r="14" spans="1:47" s="44" customFormat="1" ht="25.5">
      <c r="A14" s="94" t="s">
        <v>512</v>
      </c>
      <c r="B14" s="94" t="s">
        <v>520</v>
      </c>
      <c r="C14" s="94" t="s">
        <v>521</v>
      </c>
      <c r="D14" s="56" t="s">
        <v>522</v>
      </c>
      <c r="E14" s="66" t="s">
        <v>523</v>
      </c>
      <c r="F14" s="53" t="s">
        <v>519</v>
      </c>
      <c r="G14" s="53" t="s">
        <v>36</v>
      </c>
      <c r="H14" s="53" t="s">
        <v>37</v>
      </c>
      <c r="I14" s="53" t="s">
        <v>38</v>
      </c>
      <c r="J14" s="53" t="s">
        <v>109</v>
      </c>
      <c r="K14" s="53" t="s">
        <v>110</v>
      </c>
      <c r="L14" s="69">
        <v>43739</v>
      </c>
      <c r="M14" s="69">
        <v>43740</v>
      </c>
      <c r="N14" s="70">
        <f>444.88
/2</f>
        <v>222.44</v>
      </c>
      <c r="O14" s="70">
        <f>444.88
/2</f>
        <v>222.44</v>
      </c>
      <c r="P14" s="70">
        <f t="shared" si="0"/>
        <v>444.88</v>
      </c>
      <c r="Q14" s="53">
        <v>2</v>
      </c>
      <c r="R14" s="70">
        <v>120</v>
      </c>
      <c r="S14" s="53">
        <v>0</v>
      </c>
      <c r="T14" s="70">
        <v>0</v>
      </c>
      <c r="U14" s="70">
        <f t="shared" si="1"/>
        <v>240</v>
      </c>
      <c r="V14" s="70">
        <f t="shared" si="2"/>
        <v>684.88</v>
      </c>
      <c r="W14" s="70">
        <f t="shared" si="3"/>
        <v>684.88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3"/>
    </row>
    <row r="15" spans="1:47" s="44" customFormat="1" ht="38.25">
      <c r="A15" s="94" t="s">
        <v>371</v>
      </c>
      <c r="B15" s="94" t="s">
        <v>371</v>
      </c>
      <c r="C15" s="94" t="s">
        <v>79</v>
      </c>
      <c r="D15" s="29" t="s">
        <v>107</v>
      </c>
      <c r="E15" s="20" t="s">
        <v>80</v>
      </c>
      <c r="F15" s="53" t="s">
        <v>514</v>
      </c>
      <c r="G15" s="53" t="s">
        <v>36</v>
      </c>
      <c r="H15" s="53" t="s">
        <v>37</v>
      </c>
      <c r="I15" s="53" t="s">
        <v>38</v>
      </c>
      <c r="J15" s="53" t="s">
        <v>39</v>
      </c>
      <c r="K15" s="53" t="s">
        <v>40</v>
      </c>
      <c r="L15" s="69">
        <v>43761</v>
      </c>
      <c r="M15" s="69">
        <v>43763</v>
      </c>
      <c r="N15" s="70">
        <f>1482.08/2</f>
        <v>741.04</v>
      </c>
      <c r="O15" s="70">
        <f>1482.08/2</f>
        <v>741.04</v>
      </c>
      <c r="P15" s="70">
        <f t="shared" si="0"/>
        <v>1482.08</v>
      </c>
      <c r="Q15" s="53">
        <v>0</v>
      </c>
      <c r="R15" s="70">
        <v>0</v>
      </c>
      <c r="S15" s="53">
        <v>0</v>
      </c>
      <c r="T15" s="70">
        <v>0</v>
      </c>
      <c r="U15" s="70">
        <f t="shared" si="1"/>
        <v>0</v>
      </c>
      <c r="V15" s="70">
        <f t="shared" si="2"/>
        <v>1482.08</v>
      </c>
      <c r="W15" s="70">
        <f t="shared" si="3"/>
        <v>1482.08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3"/>
    </row>
    <row r="16" spans="1:47" s="44" customFormat="1" ht="25.5">
      <c r="A16" s="94" t="s">
        <v>371</v>
      </c>
      <c r="B16" s="94" t="s">
        <v>396</v>
      </c>
      <c r="C16" s="94" t="s">
        <v>267</v>
      </c>
      <c r="D16" s="29" t="s">
        <v>145</v>
      </c>
      <c r="E16" s="20" t="s">
        <v>399</v>
      </c>
      <c r="F16" s="53" t="s">
        <v>268</v>
      </c>
      <c r="G16" s="53" t="s">
        <v>36</v>
      </c>
      <c r="H16" s="53" t="s">
        <v>37</v>
      </c>
      <c r="I16" s="53" t="s">
        <v>38</v>
      </c>
      <c r="J16" s="53" t="s">
        <v>39</v>
      </c>
      <c r="K16" s="53" t="s">
        <v>40</v>
      </c>
      <c r="L16" s="69">
        <v>43761</v>
      </c>
      <c r="M16" s="69">
        <v>43763</v>
      </c>
      <c r="N16" s="70">
        <f>1749.38/2</f>
        <v>874.69</v>
      </c>
      <c r="O16" s="70">
        <f>1749.38/2</f>
        <v>874.69</v>
      </c>
      <c r="P16" s="70">
        <f t="shared" si="0"/>
        <v>1749.38</v>
      </c>
      <c r="Q16" s="53">
        <v>3</v>
      </c>
      <c r="R16" s="70">
        <v>120</v>
      </c>
      <c r="S16" s="53">
        <v>0</v>
      </c>
      <c r="T16" s="70">
        <v>0</v>
      </c>
      <c r="U16" s="70">
        <f t="shared" si="1"/>
        <v>360</v>
      </c>
      <c r="V16" s="70">
        <f t="shared" si="2"/>
        <v>2109.38</v>
      </c>
      <c r="W16" s="70">
        <f t="shared" si="3"/>
        <v>2109.38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3"/>
    </row>
    <row r="17" spans="1:47" s="44" customFormat="1" ht="25.5">
      <c r="A17" s="94" t="s">
        <v>231</v>
      </c>
      <c r="B17" s="94" t="s">
        <v>221</v>
      </c>
      <c r="C17" s="94" t="s">
        <v>54</v>
      </c>
      <c r="D17" s="29" t="s">
        <v>88</v>
      </c>
      <c r="E17" s="20" t="s">
        <v>55</v>
      </c>
      <c r="F17" s="53" t="s">
        <v>514</v>
      </c>
      <c r="G17" s="53" t="s">
        <v>36</v>
      </c>
      <c r="H17" s="53" t="s">
        <v>37</v>
      </c>
      <c r="I17" s="53" t="s">
        <v>38</v>
      </c>
      <c r="J17" s="53" t="s">
        <v>39</v>
      </c>
      <c r="K17" s="53" t="s">
        <v>40</v>
      </c>
      <c r="L17" s="69">
        <v>43761</v>
      </c>
      <c r="M17" s="69">
        <v>43763</v>
      </c>
      <c r="N17" s="70">
        <f>1749.38/2</f>
        <v>874.69</v>
      </c>
      <c r="O17" s="70">
        <f>1749.38/2</f>
        <v>874.69</v>
      </c>
      <c r="P17" s="70">
        <f t="shared" si="0"/>
        <v>1749.38</v>
      </c>
      <c r="Q17" s="53">
        <v>6</v>
      </c>
      <c r="R17" s="70">
        <v>120</v>
      </c>
      <c r="S17" s="53">
        <v>0</v>
      </c>
      <c r="T17" s="70">
        <v>0</v>
      </c>
      <c r="U17" s="70">
        <f t="shared" si="1"/>
        <v>720</v>
      </c>
      <c r="V17" s="70">
        <f t="shared" si="2"/>
        <v>2469.38</v>
      </c>
      <c r="W17" s="70">
        <f t="shared" si="3"/>
        <v>2469.38</v>
      </c>
      <c r="X17" s="77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3"/>
    </row>
    <row r="18" spans="1:47" s="44" customFormat="1" ht="36.75" customHeight="1">
      <c r="A18" s="94" t="s">
        <v>253</v>
      </c>
      <c r="B18" s="94" t="s">
        <v>253</v>
      </c>
      <c r="C18" s="94" t="s">
        <v>486</v>
      </c>
      <c r="D18" s="56" t="s">
        <v>107</v>
      </c>
      <c r="E18" s="66" t="s">
        <v>50</v>
      </c>
      <c r="F18" s="53" t="s">
        <v>514</v>
      </c>
      <c r="G18" s="53" t="s">
        <v>36</v>
      </c>
      <c r="H18" s="53" t="s">
        <v>37</v>
      </c>
      <c r="I18" s="53" t="s">
        <v>38</v>
      </c>
      <c r="J18" s="53" t="s">
        <v>39</v>
      </c>
      <c r="K18" s="53" t="s">
        <v>40</v>
      </c>
      <c r="L18" s="69">
        <v>43761</v>
      </c>
      <c r="M18" s="69">
        <v>43763</v>
      </c>
      <c r="N18" s="70">
        <f>1651.7/2</f>
        <v>825.85</v>
      </c>
      <c r="O18" s="70">
        <f>1651.7/2</f>
        <v>825.85</v>
      </c>
      <c r="P18" s="70">
        <f t="shared" si="0"/>
        <v>1651.7</v>
      </c>
      <c r="Q18" s="53">
        <v>0</v>
      </c>
      <c r="R18" s="70">
        <v>0</v>
      </c>
      <c r="S18" s="53">
        <v>0</v>
      </c>
      <c r="T18" s="70">
        <v>0</v>
      </c>
      <c r="U18" s="70">
        <f t="shared" si="1"/>
        <v>0</v>
      </c>
      <c r="V18" s="70">
        <f t="shared" si="2"/>
        <v>1651.7</v>
      </c>
      <c r="W18" s="70">
        <f t="shared" si="3"/>
        <v>1651.7</v>
      </c>
      <c r="X18" s="77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3"/>
    </row>
    <row r="19" spans="1:47" s="44" customFormat="1" ht="38.25">
      <c r="A19" s="94" t="s">
        <v>231</v>
      </c>
      <c r="B19" s="94" t="s">
        <v>462</v>
      </c>
      <c r="C19" s="94" t="s">
        <v>158</v>
      </c>
      <c r="D19" s="29" t="s">
        <v>159</v>
      </c>
      <c r="E19" s="20" t="s">
        <v>160</v>
      </c>
      <c r="F19" s="53" t="s">
        <v>268</v>
      </c>
      <c r="G19" s="53" t="s">
        <v>36</v>
      </c>
      <c r="H19" s="53" t="s">
        <v>37</v>
      </c>
      <c r="I19" s="53" t="s">
        <v>38</v>
      </c>
      <c r="J19" s="53" t="s">
        <v>39</v>
      </c>
      <c r="K19" s="53" t="s">
        <v>40</v>
      </c>
      <c r="L19" s="69">
        <v>43761</v>
      </c>
      <c r="M19" s="69">
        <v>43763</v>
      </c>
      <c r="N19" s="70">
        <f>1749.38/2</f>
        <v>874.69</v>
      </c>
      <c r="O19" s="70">
        <f>1749.38/2</f>
        <v>874.69</v>
      </c>
      <c r="P19" s="70">
        <f t="shared" si="0"/>
        <v>1749.38</v>
      </c>
      <c r="Q19" s="53">
        <v>9</v>
      </c>
      <c r="R19" s="70">
        <v>120</v>
      </c>
      <c r="S19" s="53">
        <v>0</v>
      </c>
      <c r="T19" s="70">
        <v>0</v>
      </c>
      <c r="U19" s="70">
        <f t="shared" si="1"/>
        <v>1080</v>
      </c>
      <c r="V19" s="70">
        <f t="shared" si="2"/>
        <v>2829.38</v>
      </c>
      <c r="W19" s="70">
        <f t="shared" si="3"/>
        <v>2829.38</v>
      </c>
      <c r="X19" s="53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3"/>
    </row>
    <row r="20" spans="1:47" ht="30">
      <c r="A20" s="94" t="s">
        <v>512</v>
      </c>
      <c r="B20" s="94" t="s">
        <v>512</v>
      </c>
      <c r="C20" s="163" t="s">
        <v>524</v>
      </c>
      <c r="D20" s="56" t="s">
        <v>107</v>
      </c>
      <c r="E20" s="66" t="s">
        <v>50</v>
      </c>
      <c r="F20" s="53" t="s">
        <v>509</v>
      </c>
      <c r="G20" s="53" t="s">
        <v>36</v>
      </c>
      <c r="H20" s="53" t="s">
        <v>37</v>
      </c>
      <c r="I20" s="53" t="s">
        <v>38</v>
      </c>
      <c r="J20" s="53" t="s">
        <v>39</v>
      </c>
      <c r="K20" s="53" t="s">
        <v>40</v>
      </c>
      <c r="L20" s="69">
        <v>43745</v>
      </c>
      <c r="M20" s="69">
        <v>43746</v>
      </c>
      <c r="N20" s="70">
        <f>3008.18/2</f>
        <v>1504.09</v>
      </c>
      <c r="O20" s="70">
        <f>3008.18/2</f>
        <v>1504.09</v>
      </c>
      <c r="P20" s="70">
        <f t="shared" si="0"/>
        <v>3008.18</v>
      </c>
      <c r="Q20" s="53">
        <v>0</v>
      </c>
      <c r="R20" s="70">
        <v>0</v>
      </c>
      <c r="S20" s="53">
        <v>0</v>
      </c>
      <c r="T20" s="70">
        <v>0</v>
      </c>
      <c r="U20" s="70">
        <f t="shared" si="1"/>
        <v>0</v>
      </c>
      <c r="V20" s="70">
        <f t="shared" si="2"/>
        <v>3008.18</v>
      </c>
      <c r="W20" s="70">
        <f t="shared" si="3"/>
        <v>3008.18</v>
      </c>
      <c r="X20" s="53"/>
    </row>
    <row r="21" spans="1:47" ht="25.5">
      <c r="A21" s="94" t="s">
        <v>512</v>
      </c>
      <c r="B21" s="94" t="s">
        <v>512</v>
      </c>
      <c r="C21" s="94" t="s">
        <v>525</v>
      </c>
      <c r="D21" s="56" t="s">
        <v>321</v>
      </c>
      <c r="E21" s="20" t="s">
        <v>343</v>
      </c>
      <c r="F21" s="53" t="s">
        <v>509</v>
      </c>
      <c r="G21" s="53" t="s">
        <v>36</v>
      </c>
      <c r="H21" s="53" t="s">
        <v>37</v>
      </c>
      <c r="I21" s="53" t="s">
        <v>38</v>
      </c>
      <c r="J21" s="53" t="s">
        <v>39</v>
      </c>
      <c r="K21" s="53" t="s">
        <v>40</v>
      </c>
      <c r="L21" s="69">
        <v>43745</v>
      </c>
      <c r="M21" s="69">
        <v>43747</v>
      </c>
      <c r="N21" s="70">
        <f>3192.18/2</f>
        <v>1596.09</v>
      </c>
      <c r="O21" s="70">
        <f>3192.18/2</f>
        <v>1596.09</v>
      </c>
      <c r="P21" s="70">
        <f t="shared" si="0"/>
        <v>3192.18</v>
      </c>
      <c r="Q21" s="53">
        <v>3</v>
      </c>
      <c r="R21" s="70">
        <v>120</v>
      </c>
      <c r="S21" s="53">
        <v>0</v>
      </c>
      <c r="T21" s="70">
        <v>0</v>
      </c>
      <c r="U21" s="70">
        <f t="shared" si="1"/>
        <v>360</v>
      </c>
      <c r="V21" s="70">
        <f t="shared" si="2"/>
        <v>3552.18</v>
      </c>
      <c r="W21" s="70">
        <f t="shared" si="3"/>
        <v>3552.18</v>
      </c>
      <c r="X21" s="53"/>
    </row>
    <row r="22" spans="1:47" ht="25.5">
      <c r="A22" s="94" t="s">
        <v>371</v>
      </c>
      <c r="B22" s="94" t="s">
        <v>371</v>
      </c>
      <c r="C22" s="94" t="s">
        <v>137</v>
      </c>
      <c r="D22" s="29" t="s">
        <v>138</v>
      </c>
      <c r="E22" s="20" t="s">
        <v>343</v>
      </c>
      <c r="F22" s="53" t="s">
        <v>509</v>
      </c>
      <c r="G22" s="53" t="s">
        <v>36</v>
      </c>
      <c r="H22" s="53" t="s">
        <v>37</v>
      </c>
      <c r="I22" s="53" t="s">
        <v>38</v>
      </c>
      <c r="J22" s="53" t="s">
        <v>39</v>
      </c>
      <c r="K22" s="53" t="s">
        <v>40</v>
      </c>
      <c r="L22" s="69">
        <v>43745</v>
      </c>
      <c r="M22" s="69">
        <v>43747</v>
      </c>
      <c r="N22" s="70">
        <f>3097.18/2</f>
        <v>1548.59</v>
      </c>
      <c r="O22" s="70">
        <f>3097.18/2</f>
        <v>1548.59</v>
      </c>
      <c r="P22" s="70">
        <f t="shared" si="0"/>
        <v>3097.18</v>
      </c>
      <c r="Q22" s="53">
        <v>3</v>
      </c>
      <c r="R22" s="70">
        <v>120</v>
      </c>
      <c r="S22" s="53">
        <v>0</v>
      </c>
      <c r="T22" s="70">
        <v>0</v>
      </c>
      <c r="U22" s="70">
        <f t="shared" si="1"/>
        <v>360</v>
      </c>
      <c r="V22" s="70">
        <f t="shared" si="2"/>
        <v>3457.18</v>
      </c>
      <c r="W22" s="70">
        <f t="shared" si="3"/>
        <v>3457.18</v>
      </c>
      <c r="X22" s="53"/>
    </row>
    <row r="23" spans="1:47" ht="25.5">
      <c r="A23" s="94" t="s">
        <v>231</v>
      </c>
      <c r="B23" s="94" t="s">
        <v>221</v>
      </c>
      <c r="C23" s="94" t="s">
        <v>54</v>
      </c>
      <c r="D23" s="29" t="s">
        <v>88</v>
      </c>
      <c r="E23" s="20" t="s">
        <v>55</v>
      </c>
      <c r="F23" s="53" t="s">
        <v>509</v>
      </c>
      <c r="G23" s="53" t="s">
        <v>36</v>
      </c>
      <c r="H23" s="53" t="s">
        <v>37</v>
      </c>
      <c r="I23" s="53" t="s">
        <v>38</v>
      </c>
      <c r="J23" s="53" t="s">
        <v>39</v>
      </c>
      <c r="K23" s="53" t="s">
        <v>40</v>
      </c>
      <c r="L23" s="69">
        <v>43745</v>
      </c>
      <c r="M23" s="69">
        <v>43746</v>
      </c>
      <c r="N23" s="70">
        <f>3104.58/2</f>
        <v>1552.29</v>
      </c>
      <c r="O23" s="70">
        <f>3104.58/2</f>
        <v>1552.29</v>
      </c>
      <c r="P23" s="70">
        <f t="shared" si="0"/>
        <v>3104.58</v>
      </c>
      <c r="Q23" s="53">
        <v>4</v>
      </c>
      <c r="R23" s="70">
        <v>120</v>
      </c>
      <c r="S23" s="53">
        <v>0</v>
      </c>
      <c r="T23" s="70">
        <v>0</v>
      </c>
      <c r="U23" s="70">
        <f t="shared" si="1"/>
        <v>480</v>
      </c>
      <c r="V23" s="70">
        <f t="shared" si="2"/>
        <v>3584.58</v>
      </c>
      <c r="W23" s="70">
        <f t="shared" si="3"/>
        <v>3584.58</v>
      </c>
      <c r="X23" s="53"/>
    </row>
    <row r="24" spans="1:47" ht="25.5">
      <c r="A24" s="94" t="s">
        <v>371</v>
      </c>
      <c r="B24" s="94" t="s">
        <v>240</v>
      </c>
      <c r="C24" s="94" t="s">
        <v>140</v>
      </c>
      <c r="D24" s="29" t="s">
        <v>141</v>
      </c>
      <c r="E24" s="20" t="s">
        <v>411</v>
      </c>
      <c r="F24" s="53" t="s">
        <v>509</v>
      </c>
      <c r="G24" s="53" t="s">
        <v>36</v>
      </c>
      <c r="H24" s="53" t="s">
        <v>37</v>
      </c>
      <c r="I24" s="53" t="s">
        <v>38</v>
      </c>
      <c r="J24" s="53" t="s">
        <v>39</v>
      </c>
      <c r="K24" s="53" t="s">
        <v>40</v>
      </c>
      <c r="L24" s="69">
        <v>43745</v>
      </c>
      <c r="M24" s="69">
        <v>43747</v>
      </c>
      <c r="N24" s="70">
        <f>3097.18/2</f>
        <v>1548.59</v>
      </c>
      <c r="O24" s="70">
        <f>3097.18/2</f>
        <v>1548.59</v>
      </c>
      <c r="P24" s="70">
        <f t="shared" si="0"/>
        <v>3097.18</v>
      </c>
      <c r="Q24" s="53">
        <v>6</v>
      </c>
      <c r="R24" s="70">
        <v>120</v>
      </c>
      <c r="S24" s="53">
        <v>0</v>
      </c>
      <c r="T24" s="70">
        <v>0</v>
      </c>
      <c r="U24" s="70">
        <f t="shared" si="1"/>
        <v>720</v>
      </c>
      <c r="V24" s="70">
        <f t="shared" si="2"/>
        <v>3817.18</v>
      </c>
      <c r="W24" s="70">
        <f t="shared" si="3"/>
        <v>3817.18</v>
      </c>
      <c r="X24" s="53"/>
    </row>
    <row r="25" spans="1:47" ht="25.5">
      <c r="A25" s="94" t="s">
        <v>512</v>
      </c>
      <c r="B25" s="94" t="s">
        <v>288</v>
      </c>
      <c r="C25" s="94" t="s">
        <v>526</v>
      </c>
      <c r="D25" s="29" t="s">
        <v>527</v>
      </c>
      <c r="E25" s="20" t="s">
        <v>164</v>
      </c>
      <c r="F25" s="53" t="s">
        <v>528</v>
      </c>
      <c r="G25" s="53" t="s">
        <v>36</v>
      </c>
      <c r="H25" s="53" t="s">
        <v>37</v>
      </c>
      <c r="I25" s="53" t="s">
        <v>38</v>
      </c>
      <c r="J25" s="53" t="s">
        <v>39</v>
      </c>
      <c r="K25" s="53" t="s">
        <v>40</v>
      </c>
      <c r="L25" s="69">
        <v>43758</v>
      </c>
      <c r="M25" s="69">
        <v>43762</v>
      </c>
      <c r="N25" s="70">
        <f>2688.08
/2</f>
        <v>1344.04</v>
      </c>
      <c r="O25" s="70">
        <f>2688.08
/2</f>
        <v>1344.04</v>
      </c>
      <c r="P25" s="70">
        <f t="shared" si="0"/>
        <v>2688.08</v>
      </c>
      <c r="Q25" s="53">
        <v>5</v>
      </c>
      <c r="R25" s="70">
        <v>120</v>
      </c>
      <c r="S25" s="53">
        <v>0</v>
      </c>
      <c r="T25" s="70">
        <v>0</v>
      </c>
      <c r="U25" s="70">
        <f t="shared" si="1"/>
        <v>600</v>
      </c>
      <c r="V25" s="70">
        <f t="shared" si="2"/>
        <v>3288.08</v>
      </c>
      <c r="W25" s="70">
        <f t="shared" si="3"/>
        <v>3288.08</v>
      </c>
      <c r="X25" s="53"/>
    </row>
    <row r="26" spans="1:47" ht="51">
      <c r="A26" s="94" t="s">
        <v>512</v>
      </c>
      <c r="B26" s="94" t="s">
        <v>212</v>
      </c>
      <c r="C26" s="94" t="s">
        <v>404</v>
      </c>
      <c r="D26" s="29" t="s">
        <v>405</v>
      </c>
      <c r="E26" s="20" t="s">
        <v>406</v>
      </c>
      <c r="F26" s="53" t="s">
        <v>528</v>
      </c>
      <c r="G26" s="53" t="s">
        <v>36</v>
      </c>
      <c r="H26" s="53" t="s">
        <v>37</v>
      </c>
      <c r="I26" s="53" t="s">
        <v>38</v>
      </c>
      <c r="J26" s="53" t="s">
        <v>39</v>
      </c>
      <c r="K26" s="53" t="s">
        <v>40</v>
      </c>
      <c r="L26" s="69">
        <v>43758</v>
      </c>
      <c r="M26" s="69">
        <v>43762</v>
      </c>
      <c r="N26" s="70">
        <f>2410.88
/2</f>
        <v>1205.44</v>
      </c>
      <c r="O26" s="70">
        <f>2410.88
/2</f>
        <v>1205.44</v>
      </c>
      <c r="P26" s="70">
        <f t="shared" si="0"/>
        <v>2410.88</v>
      </c>
      <c r="Q26" s="53">
        <v>6</v>
      </c>
      <c r="R26" s="70">
        <v>120</v>
      </c>
      <c r="S26" s="53">
        <v>0</v>
      </c>
      <c r="T26" s="70">
        <v>0</v>
      </c>
      <c r="U26" s="70">
        <f t="shared" si="1"/>
        <v>720</v>
      </c>
      <c r="V26" s="70">
        <f t="shared" si="2"/>
        <v>3130.88</v>
      </c>
      <c r="W26" s="70">
        <f t="shared" si="3"/>
        <v>3130.88</v>
      </c>
      <c r="X26" s="53"/>
    </row>
    <row r="27" spans="1:47" ht="25.5">
      <c r="A27" s="94" t="s">
        <v>512</v>
      </c>
      <c r="B27" s="94" t="s">
        <v>288</v>
      </c>
      <c r="C27" s="94" t="s">
        <v>529</v>
      </c>
      <c r="D27" s="29" t="s">
        <v>530</v>
      </c>
      <c r="E27" s="20" t="s">
        <v>531</v>
      </c>
      <c r="F27" s="53" t="s">
        <v>528</v>
      </c>
      <c r="G27" s="53" t="s">
        <v>36</v>
      </c>
      <c r="H27" s="53" t="s">
        <v>37</v>
      </c>
      <c r="I27" s="53" t="s">
        <v>38</v>
      </c>
      <c r="J27" s="53" t="s">
        <v>39</v>
      </c>
      <c r="K27" s="53" t="s">
        <v>40</v>
      </c>
      <c r="L27" s="69">
        <v>43758</v>
      </c>
      <c r="M27" s="69">
        <v>43762</v>
      </c>
      <c r="N27" s="70">
        <f>2688.08
/2</f>
        <v>1344.04</v>
      </c>
      <c r="O27" s="70">
        <f>2688.08
/2</f>
        <v>1344.04</v>
      </c>
      <c r="P27" s="70">
        <f t="shared" si="0"/>
        <v>2688.08</v>
      </c>
      <c r="Q27" s="53">
        <v>5</v>
      </c>
      <c r="R27" s="70">
        <v>120</v>
      </c>
      <c r="S27" s="53">
        <v>0</v>
      </c>
      <c r="T27" s="70">
        <v>0</v>
      </c>
      <c r="U27" s="70">
        <f t="shared" si="1"/>
        <v>600</v>
      </c>
      <c r="V27" s="70">
        <f t="shared" si="2"/>
        <v>3288.08</v>
      </c>
      <c r="W27" s="70">
        <f t="shared" si="3"/>
        <v>3288.08</v>
      </c>
      <c r="X27" s="53"/>
    </row>
    <row r="28" spans="1:47" ht="25.5">
      <c r="A28" s="94" t="s">
        <v>231</v>
      </c>
      <c r="B28" s="94" t="s">
        <v>229</v>
      </c>
      <c r="C28" s="94" t="s">
        <v>246</v>
      </c>
      <c r="D28" s="56" t="s">
        <v>247</v>
      </c>
      <c r="E28" s="20" t="s">
        <v>341</v>
      </c>
      <c r="F28" s="53" t="s">
        <v>532</v>
      </c>
      <c r="G28" s="53" t="s">
        <v>36</v>
      </c>
      <c r="H28" s="53" t="s">
        <v>37</v>
      </c>
      <c r="I28" s="53" t="s">
        <v>38</v>
      </c>
      <c r="J28" s="53" t="s">
        <v>62</v>
      </c>
      <c r="K28" s="53" t="s">
        <v>63</v>
      </c>
      <c r="L28" s="69">
        <v>43744</v>
      </c>
      <c r="M28" s="69">
        <v>43746</v>
      </c>
      <c r="N28" s="70">
        <f>1582.42/2</f>
        <v>791.21</v>
      </c>
      <c r="O28" s="70">
        <f>1582.42/2</f>
        <v>791.21</v>
      </c>
      <c r="P28" s="70">
        <f t="shared" si="0"/>
        <v>1582.42</v>
      </c>
      <c r="Q28" s="53">
        <v>3</v>
      </c>
      <c r="R28" s="70">
        <v>120</v>
      </c>
      <c r="S28" s="53">
        <v>1</v>
      </c>
      <c r="T28" s="70">
        <v>250</v>
      </c>
      <c r="U28" s="70">
        <f t="shared" si="1"/>
        <v>610</v>
      </c>
      <c r="V28" s="70">
        <f t="shared" si="2"/>
        <v>2192.42</v>
      </c>
      <c r="W28" s="70">
        <f t="shared" si="3"/>
        <v>2192.42</v>
      </c>
      <c r="X28" s="53"/>
    </row>
    <row r="29" spans="1:47" ht="25.5">
      <c r="A29" s="94" t="s">
        <v>512</v>
      </c>
      <c r="B29" s="94" t="s">
        <v>212</v>
      </c>
      <c r="C29" s="94" t="s">
        <v>100</v>
      </c>
      <c r="D29" s="29" t="s">
        <v>101</v>
      </c>
      <c r="E29" s="20" t="s">
        <v>102</v>
      </c>
      <c r="F29" s="53" t="s">
        <v>533</v>
      </c>
      <c r="G29" s="53" t="s">
        <v>36</v>
      </c>
      <c r="H29" s="53" t="s">
        <v>37</v>
      </c>
      <c r="I29" s="53" t="s">
        <v>38</v>
      </c>
      <c r="J29" s="53" t="s">
        <v>62</v>
      </c>
      <c r="K29" s="53" t="s">
        <v>414</v>
      </c>
      <c r="L29" s="69">
        <v>43766</v>
      </c>
      <c r="M29" s="69">
        <v>43770</v>
      </c>
      <c r="N29" s="70">
        <f>2985.81/2</f>
        <v>1492.905</v>
      </c>
      <c r="O29" s="70">
        <f>2985.81/2</f>
        <v>1492.905</v>
      </c>
      <c r="P29" s="70">
        <f t="shared" si="0"/>
        <v>2985.81</v>
      </c>
      <c r="Q29" s="53">
        <v>5</v>
      </c>
      <c r="R29" s="70">
        <v>120</v>
      </c>
      <c r="S29" s="53">
        <v>4</v>
      </c>
      <c r="T29" s="70">
        <v>100</v>
      </c>
      <c r="U29" s="70">
        <f t="shared" si="1"/>
        <v>1000</v>
      </c>
      <c r="V29" s="70">
        <f t="shared" si="2"/>
        <v>3985.81</v>
      </c>
      <c r="W29" s="70">
        <f t="shared" si="3"/>
        <v>3985.81</v>
      </c>
      <c r="X29" s="53"/>
    </row>
    <row r="30" spans="1:47" ht="25.5">
      <c r="A30" s="94" t="s">
        <v>371</v>
      </c>
      <c r="B30" s="94" t="s">
        <v>240</v>
      </c>
      <c r="C30" s="94" t="s">
        <v>448</v>
      </c>
      <c r="D30" s="56" t="s">
        <v>460</v>
      </c>
      <c r="E30" s="20" t="s">
        <v>60</v>
      </c>
      <c r="F30" s="53" t="s">
        <v>534</v>
      </c>
      <c r="G30" s="53" t="s">
        <v>36</v>
      </c>
      <c r="H30" s="53" t="s">
        <v>37</v>
      </c>
      <c r="I30" s="53" t="s">
        <v>38</v>
      </c>
      <c r="J30" s="53" t="s">
        <v>39</v>
      </c>
      <c r="K30" s="53" t="s">
        <v>40</v>
      </c>
      <c r="L30" s="69">
        <v>43745</v>
      </c>
      <c r="M30" s="69">
        <v>43746</v>
      </c>
      <c r="N30" s="70">
        <f>1784.99/2</f>
        <v>892.495</v>
      </c>
      <c r="O30" s="70">
        <f>1784.99/2</f>
        <v>892.495</v>
      </c>
      <c r="P30" s="70">
        <f t="shared" si="0"/>
        <v>1784.99</v>
      </c>
      <c r="Q30" s="53">
        <v>4</v>
      </c>
      <c r="R30" s="70">
        <v>120</v>
      </c>
      <c r="S30" s="53">
        <v>0</v>
      </c>
      <c r="T30" s="70">
        <v>0</v>
      </c>
      <c r="U30" s="70">
        <f t="shared" si="1"/>
        <v>480</v>
      </c>
      <c r="V30" s="70">
        <f t="shared" si="2"/>
        <v>2264.9899999999998</v>
      </c>
      <c r="W30" s="70">
        <f t="shared" si="3"/>
        <v>2264.9899999999998</v>
      </c>
      <c r="X30" s="53"/>
    </row>
    <row r="31" spans="1:47" ht="25.5">
      <c r="A31" s="94" t="s">
        <v>512</v>
      </c>
      <c r="B31" s="94" t="s">
        <v>288</v>
      </c>
      <c r="C31" s="94" t="s">
        <v>289</v>
      </c>
      <c r="D31" s="29" t="s">
        <v>290</v>
      </c>
      <c r="E31" s="20" t="s">
        <v>535</v>
      </c>
      <c r="F31" s="53" t="s">
        <v>528</v>
      </c>
      <c r="G31" s="53" t="s">
        <v>36</v>
      </c>
      <c r="H31" s="53" t="s">
        <v>37</v>
      </c>
      <c r="I31" s="53" t="s">
        <v>38</v>
      </c>
      <c r="J31" s="53" t="s">
        <v>62</v>
      </c>
      <c r="K31" s="53" t="s">
        <v>63</v>
      </c>
      <c r="L31" s="69">
        <v>43744</v>
      </c>
      <c r="M31" s="69">
        <v>43749</v>
      </c>
      <c r="N31" s="70">
        <f>1879.42/2</f>
        <v>939.71</v>
      </c>
      <c r="O31" s="70">
        <f>1879.42/2</f>
        <v>939.71</v>
      </c>
      <c r="P31" s="70">
        <f t="shared" si="0"/>
        <v>1879.42</v>
      </c>
      <c r="Q31" s="53">
        <v>6</v>
      </c>
      <c r="R31" s="70">
        <v>120</v>
      </c>
      <c r="S31" s="53"/>
      <c r="T31" s="70"/>
      <c r="U31" s="70">
        <f t="shared" si="1"/>
        <v>720</v>
      </c>
      <c r="V31" s="70">
        <f t="shared" si="2"/>
        <v>2599.42</v>
      </c>
      <c r="W31" s="70">
        <f t="shared" si="3"/>
        <v>2599.42</v>
      </c>
      <c r="X31" s="53"/>
    </row>
    <row r="32" spans="1:47" ht="25.5">
      <c r="A32" s="94" t="s">
        <v>512</v>
      </c>
      <c r="B32" s="94" t="s">
        <v>288</v>
      </c>
      <c r="C32" s="94" t="s">
        <v>378</v>
      </c>
      <c r="D32" s="29" t="s">
        <v>379</v>
      </c>
      <c r="E32" s="20" t="s">
        <v>380</v>
      </c>
      <c r="F32" s="53" t="s">
        <v>536</v>
      </c>
      <c r="G32" s="53" t="s">
        <v>36</v>
      </c>
      <c r="H32" s="53" t="s">
        <v>37</v>
      </c>
      <c r="I32" s="53" t="s">
        <v>38</v>
      </c>
      <c r="J32" s="53" t="s">
        <v>62</v>
      </c>
      <c r="K32" s="53" t="s">
        <v>63</v>
      </c>
      <c r="L32" s="69">
        <v>43746</v>
      </c>
      <c r="M32" s="69">
        <v>43749</v>
      </c>
      <c r="N32" s="70">
        <f>1759.52/2</f>
        <v>879.76</v>
      </c>
      <c r="O32" s="70">
        <f>1759.52/2</f>
        <v>879.76</v>
      </c>
      <c r="P32" s="70">
        <f t="shared" si="0"/>
        <v>1759.52</v>
      </c>
      <c r="Q32" s="53">
        <v>4</v>
      </c>
      <c r="R32" s="70">
        <v>120</v>
      </c>
      <c r="S32" s="53"/>
      <c r="T32" s="70"/>
      <c r="U32" s="70">
        <f t="shared" si="1"/>
        <v>480</v>
      </c>
      <c r="V32" s="70">
        <f t="shared" si="2"/>
        <v>2239.52</v>
      </c>
      <c r="W32" s="70">
        <f t="shared" si="3"/>
        <v>2239.52</v>
      </c>
      <c r="X32" s="53"/>
    </row>
    <row r="33" spans="1:24">
      <c r="A33" s="53"/>
      <c r="B33" s="94"/>
      <c r="C33" s="94"/>
      <c r="D33" s="29"/>
      <c r="E33" s="20"/>
      <c r="F33" s="53"/>
      <c r="G33" s="53"/>
      <c r="H33" s="53"/>
      <c r="I33" s="53"/>
      <c r="J33" s="53"/>
      <c r="K33" s="53"/>
      <c r="L33" s="69"/>
      <c r="M33" s="69"/>
      <c r="N33" s="70"/>
      <c r="O33" s="70"/>
      <c r="P33" s="70">
        <f t="shared" si="0"/>
        <v>0</v>
      </c>
      <c r="Q33" s="53"/>
      <c r="R33" s="70"/>
      <c r="S33" s="53"/>
      <c r="T33" s="70"/>
      <c r="U33" s="70">
        <f t="shared" si="1"/>
        <v>0</v>
      </c>
      <c r="V33" s="70">
        <f t="shared" si="2"/>
        <v>0</v>
      </c>
      <c r="W33" s="70">
        <f t="shared" si="3"/>
        <v>0</v>
      </c>
      <c r="X33" s="53"/>
    </row>
    <row r="34" spans="1:24">
      <c r="A34" s="53"/>
      <c r="B34" s="94"/>
      <c r="C34" s="94"/>
      <c r="D34" s="29"/>
      <c r="E34" s="20"/>
      <c r="F34" s="53"/>
      <c r="G34" s="53"/>
      <c r="H34" s="53"/>
      <c r="I34" s="53"/>
      <c r="J34" s="53"/>
      <c r="K34" s="53"/>
      <c r="L34" s="69"/>
      <c r="M34" s="69"/>
      <c r="N34" s="70"/>
      <c r="O34" s="70"/>
      <c r="P34" s="70">
        <f t="shared" si="0"/>
        <v>0</v>
      </c>
      <c r="Q34" s="53"/>
      <c r="R34" s="70"/>
      <c r="S34" s="53"/>
      <c r="T34" s="70"/>
      <c r="U34" s="70">
        <f t="shared" si="1"/>
        <v>0</v>
      </c>
      <c r="V34" s="70">
        <f t="shared" si="2"/>
        <v>0</v>
      </c>
      <c r="W34" s="70">
        <f t="shared" si="3"/>
        <v>0</v>
      </c>
      <c r="X34" s="53"/>
    </row>
    <row r="35" spans="1:24">
      <c r="A35" s="53"/>
      <c r="B35" s="94"/>
      <c r="C35" s="94"/>
      <c r="D35" s="29"/>
      <c r="E35" s="20"/>
      <c r="F35" s="53"/>
      <c r="G35" s="53"/>
      <c r="H35" s="53"/>
      <c r="I35" s="53"/>
      <c r="J35" s="53"/>
      <c r="K35" s="53"/>
      <c r="L35" s="69"/>
      <c r="M35" s="69"/>
      <c r="N35" s="70"/>
      <c r="O35" s="70"/>
      <c r="P35" s="70">
        <f t="shared" si="0"/>
        <v>0</v>
      </c>
      <c r="Q35" s="53"/>
      <c r="R35" s="70"/>
      <c r="S35" s="53"/>
      <c r="T35" s="70"/>
      <c r="U35" s="70">
        <f t="shared" si="1"/>
        <v>0</v>
      </c>
      <c r="V35" s="70">
        <f t="shared" si="2"/>
        <v>0</v>
      </c>
      <c r="W35" s="70">
        <f t="shared" si="3"/>
        <v>0</v>
      </c>
      <c r="X35" s="53"/>
    </row>
    <row r="36" spans="1:24">
      <c r="A36" s="53"/>
      <c r="B36" s="94"/>
      <c r="C36" s="94"/>
      <c r="D36" s="29"/>
      <c r="E36" s="20"/>
      <c r="F36" s="53"/>
      <c r="G36" s="53"/>
      <c r="H36" s="53"/>
      <c r="I36" s="53"/>
      <c r="J36" s="53"/>
      <c r="K36" s="53"/>
      <c r="L36" s="69"/>
      <c r="M36" s="69"/>
      <c r="N36" s="70"/>
      <c r="O36" s="70"/>
      <c r="P36" s="70">
        <f t="shared" si="0"/>
        <v>0</v>
      </c>
      <c r="Q36" s="53"/>
      <c r="R36" s="70"/>
      <c r="S36" s="53"/>
      <c r="T36" s="70"/>
      <c r="U36" s="70">
        <f t="shared" si="1"/>
        <v>0</v>
      </c>
      <c r="V36" s="70">
        <f t="shared" si="2"/>
        <v>0</v>
      </c>
      <c r="W36" s="70">
        <f t="shared" si="3"/>
        <v>0</v>
      </c>
      <c r="X36" s="53"/>
    </row>
    <row r="37" spans="1:24">
      <c r="A37" s="53"/>
      <c r="B37" s="94"/>
      <c r="C37" s="94"/>
      <c r="D37" s="29"/>
      <c r="E37" s="20"/>
      <c r="F37" s="53"/>
      <c r="G37" s="53"/>
      <c r="H37" s="53"/>
      <c r="I37" s="53"/>
      <c r="J37" s="53"/>
      <c r="K37" s="53"/>
      <c r="L37" s="69"/>
      <c r="M37" s="69"/>
      <c r="N37" s="70"/>
      <c r="O37" s="70"/>
      <c r="P37" s="70">
        <f t="shared" si="0"/>
        <v>0</v>
      </c>
      <c r="Q37" s="53"/>
      <c r="R37" s="70"/>
      <c r="S37" s="53"/>
      <c r="T37" s="70"/>
      <c r="U37" s="70">
        <f t="shared" si="1"/>
        <v>0</v>
      </c>
      <c r="V37" s="70">
        <f t="shared" si="2"/>
        <v>0</v>
      </c>
      <c r="W37" s="70">
        <f t="shared" si="3"/>
        <v>0</v>
      </c>
      <c r="X37" s="5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T27"/>
  <sheetViews>
    <sheetView topLeftCell="A6" workbookViewId="0">
      <selection activeCell="D21" sqref="D21:E21"/>
    </sheetView>
  </sheetViews>
  <sheetFormatPr defaultRowHeight="15" customHeight="1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1" width="18" customWidth="1"/>
    <col min="1002" max="1002" width="9" customWidth="1"/>
  </cols>
  <sheetData>
    <row r="1" spans="1:46" ht="14.25" hidden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62" t="s">
        <v>0</v>
      </c>
      <c r="W5" s="162"/>
      <c r="X5" s="72">
        <v>43586</v>
      </c>
    </row>
    <row r="6" spans="1:46">
      <c r="A6" s="96" t="s">
        <v>1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</row>
    <row r="7" spans="1:46">
      <c r="A7" s="96" t="s">
        <v>2</v>
      </c>
      <c r="B7" s="96"/>
      <c r="C7" s="96" t="s">
        <v>3</v>
      </c>
      <c r="D7" s="96"/>
      <c r="E7" s="96"/>
      <c r="F7" s="96" t="s">
        <v>4</v>
      </c>
      <c r="G7" s="96"/>
      <c r="H7" s="96"/>
      <c r="I7" s="96"/>
      <c r="J7" s="96"/>
      <c r="K7" s="96"/>
      <c r="L7" s="96"/>
      <c r="M7" s="96"/>
      <c r="N7" s="96" t="s">
        <v>5</v>
      </c>
      <c r="O7" s="96"/>
      <c r="P7" s="96"/>
      <c r="Q7" s="96" t="s">
        <v>6</v>
      </c>
      <c r="R7" s="96"/>
      <c r="S7" s="96"/>
      <c r="T7" s="96"/>
      <c r="U7" s="96"/>
      <c r="V7" s="96"/>
      <c r="W7" s="96" t="s">
        <v>7</v>
      </c>
      <c r="X7" s="149" t="s">
        <v>8</v>
      </c>
    </row>
    <row r="8" spans="1:46" s="9" customFormat="1">
      <c r="A8" s="97" t="s">
        <v>9</v>
      </c>
      <c r="B8" s="97" t="s">
        <v>10</v>
      </c>
      <c r="C8" s="97" t="s">
        <v>11</v>
      </c>
      <c r="D8" s="97" t="s">
        <v>12</v>
      </c>
      <c r="E8" s="97" t="s">
        <v>13</v>
      </c>
      <c r="F8" s="97" t="s">
        <v>14</v>
      </c>
      <c r="G8" s="97" t="s">
        <v>15</v>
      </c>
      <c r="H8" s="97" t="s">
        <v>16</v>
      </c>
      <c r="I8" s="97"/>
      <c r="J8" s="98" t="s">
        <v>17</v>
      </c>
      <c r="K8" s="98"/>
      <c r="L8" s="97" t="s">
        <v>18</v>
      </c>
      <c r="M8" s="97" t="s">
        <v>19</v>
      </c>
      <c r="N8" s="98" t="s">
        <v>20</v>
      </c>
      <c r="O8" s="98" t="s">
        <v>21</v>
      </c>
      <c r="P8" s="98" t="s">
        <v>22</v>
      </c>
      <c r="Q8" s="98" t="s">
        <v>23</v>
      </c>
      <c r="R8" s="98"/>
      <c r="S8" s="98" t="s">
        <v>24</v>
      </c>
      <c r="T8" s="98"/>
      <c r="U8" s="97" t="s">
        <v>25</v>
      </c>
      <c r="V8" s="98" t="s">
        <v>22</v>
      </c>
      <c r="W8" s="96"/>
      <c r="X8" s="149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6" s="9" customFormat="1" ht="17.25" customHeight="1">
      <c r="A9" s="97"/>
      <c r="B9" s="97"/>
      <c r="C9" s="97"/>
      <c r="D9" s="97"/>
      <c r="E9" s="97"/>
      <c r="F9" s="97"/>
      <c r="G9" s="97"/>
      <c r="H9" s="10" t="s">
        <v>26</v>
      </c>
      <c r="I9" s="10" t="s">
        <v>27</v>
      </c>
      <c r="J9" s="10" t="s">
        <v>26</v>
      </c>
      <c r="K9" s="11" t="s">
        <v>28</v>
      </c>
      <c r="L9" s="97"/>
      <c r="M9" s="97"/>
      <c r="N9" s="98"/>
      <c r="O9" s="98"/>
      <c r="P9" s="98"/>
      <c r="Q9" s="10" t="s">
        <v>29</v>
      </c>
      <c r="R9" s="11" t="s">
        <v>30</v>
      </c>
      <c r="S9" s="10" t="s">
        <v>29</v>
      </c>
      <c r="T9" s="11" t="s">
        <v>30</v>
      </c>
      <c r="U9" s="97"/>
      <c r="V9" s="98"/>
      <c r="W9" s="96"/>
      <c r="X9" s="150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6" s="44" customFormat="1" ht="25.5">
      <c r="A10" s="94" t="s">
        <v>231</v>
      </c>
      <c r="B10" s="94" t="s">
        <v>221</v>
      </c>
      <c r="C10" s="78" t="s">
        <v>54</v>
      </c>
      <c r="D10" s="29" t="s">
        <v>88</v>
      </c>
      <c r="E10" s="20" t="s">
        <v>55</v>
      </c>
      <c r="F10" s="53" t="s">
        <v>537</v>
      </c>
      <c r="G10" s="53" t="s">
        <v>36</v>
      </c>
      <c r="H10" s="53" t="s">
        <v>37</v>
      </c>
      <c r="I10" s="53" t="s">
        <v>38</v>
      </c>
      <c r="J10" s="53" t="s">
        <v>62</v>
      </c>
      <c r="K10" s="53" t="s">
        <v>63</v>
      </c>
      <c r="L10" s="69">
        <v>43793</v>
      </c>
      <c r="M10" s="69">
        <v>43795</v>
      </c>
      <c r="N10" s="70">
        <f>1141.48/2</f>
        <v>570.74</v>
      </c>
      <c r="O10" s="70">
        <f>1141.48/2</f>
        <v>570.74</v>
      </c>
      <c r="P10" s="70">
        <f t="shared" ref="P10:P27" si="0">SUM(N10:O10)</f>
        <v>1141.48</v>
      </c>
      <c r="Q10" s="53">
        <v>6</v>
      </c>
      <c r="R10" s="70">
        <v>120</v>
      </c>
      <c r="S10" s="53">
        <v>0</v>
      </c>
      <c r="T10" s="70">
        <v>0</v>
      </c>
      <c r="U10" s="70">
        <f>(Q10*R10)+(S10*T10)</f>
        <v>720</v>
      </c>
      <c r="V10" s="70">
        <f>U10+P10</f>
        <v>1861.48</v>
      </c>
      <c r="W10" s="70">
        <f>V10</f>
        <v>1861.48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</row>
    <row r="11" spans="1:46" s="44" customFormat="1" ht="25.5">
      <c r="A11" s="94" t="s">
        <v>512</v>
      </c>
      <c r="B11" s="94" t="s">
        <v>212</v>
      </c>
      <c r="C11" s="94" t="s">
        <v>41</v>
      </c>
      <c r="D11" s="29" t="s">
        <v>171</v>
      </c>
      <c r="E11" s="20" t="s">
        <v>42</v>
      </c>
      <c r="F11" s="53" t="s">
        <v>538</v>
      </c>
      <c r="G11" s="53" t="s">
        <v>36</v>
      </c>
      <c r="H11" s="53" t="s">
        <v>37</v>
      </c>
      <c r="I11" s="53" t="s">
        <v>38</v>
      </c>
      <c r="J11" s="53" t="s">
        <v>37</v>
      </c>
      <c r="K11" s="53" t="s">
        <v>391</v>
      </c>
      <c r="L11" s="69">
        <v>43773</v>
      </c>
      <c r="M11" s="69">
        <v>43775</v>
      </c>
      <c r="N11" s="70">
        <f t="shared" ref="N11:O13" si="1">1253.63/2</f>
        <v>626.81500000000005</v>
      </c>
      <c r="O11" s="70">
        <f t="shared" si="1"/>
        <v>626.81500000000005</v>
      </c>
      <c r="P11" s="70">
        <f t="shared" si="0"/>
        <v>1253.6300000000001</v>
      </c>
      <c r="Q11" s="53">
        <v>3</v>
      </c>
      <c r="R11" s="70">
        <v>120</v>
      </c>
      <c r="S11" s="53">
        <v>0</v>
      </c>
      <c r="T11" s="70">
        <v>0</v>
      </c>
      <c r="U11" s="70">
        <f t="shared" ref="U11:U27" si="2">(Q11*R11)+(S11*T11)</f>
        <v>360</v>
      </c>
      <c r="V11" s="70">
        <f t="shared" ref="V11:V27" si="3">U11+P11</f>
        <v>1613.63</v>
      </c>
      <c r="W11" s="70">
        <f t="shared" ref="W11:W27" si="4">V11</f>
        <v>1613.63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</row>
    <row r="12" spans="1:46" s="44" customFormat="1" ht="25.5">
      <c r="A12" s="94" t="s">
        <v>512</v>
      </c>
      <c r="B12" s="94" t="s">
        <v>212</v>
      </c>
      <c r="C12" s="76" t="s">
        <v>387</v>
      </c>
      <c r="D12" s="56" t="s">
        <v>388</v>
      </c>
      <c r="E12" s="20" t="s">
        <v>34</v>
      </c>
      <c r="F12" s="53" t="s">
        <v>538</v>
      </c>
      <c r="G12" s="53" t="s">
        <v>36</v>
      </c>
      <c r="H12" s="53" t="s">
        <v>37</v>
      </c>
      <c r="I12" s="53" t="s">
        <v>38</v>
      </c>
      <c r="J12" s="53" t="s">
        <v>37</v>
      </c>
      <c r="K12" s="53" t="s">
        <v>391</v>
      </c>
      <c r="L12" s="69">
        <v>43773</v>
      </c>
      <c r="M12" s="69">
        <v>43775</v>
      </c>
      <c r="N12" s="70">
        <f t="shared" si="1"/>
        <v>626.81500000000005</v>
      </c>
      <c r="O12" s="70">
        <f t="shared" si="1"/>
        <v>626.81500000000005</v>
      </c>
      <c r="P12" s="70">
        <f t="shared" si="0"/>
        <v>1253.6300000000001</v>
      </c>
      <c r="Q12" s="53">
        <v>3</v>
      </c>
      <c r="R12" s="70">
        <v>120</v>
      </c>
      <c r="S12" s="53">
        <v>5</v>
      </c>
      <c r="T12" s="70">
        <v>100</v>
      </c>
      <c r="U12" s="70">
        <f t="shared" si="2"/>
        <v>860</v>
      </c>
      <c r="V12" s="70">
        <f t="shared" si="3"/>
        <v>2113.63</v>
      </c>
      <c r="W12" s="70">
        <f t="shared" si="4"/>
        <v>2113.63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</row>
    <row r="13" spans="1:46" s="44" customFormat="1" ht="25.5">
      <c r="A13" s="94" t="s">
        <v>512</v>
      </c>
      <c r="B13" s="94" t="s">
        <v>212</v>
      </c>
      <c r="C13" s="163" t="s">
        <v>539</v>
      </c>
      <c r="D13" s="29" t="s">
        <v>540</v>
      </c>
      <c r="E13" s="20" t="s">
        <v>541</v>
      </c>
      <c r="F13" s="53" t="s">
        <v>538</v>
      </c>
      <c r="G13" s="53" t="s">
        <v>36</v>
      </c>
      <c r="H13" s="53" t="s">
        <v>37</v>
      </c>
      <c r="I13" s="53" t="s">
        <v>38</v>
      </c>
      <c r="J13" s="53" t="s">
        <v>37</v>
      </c>
      <c r="K13" s="53" t="s">
        <v>391</v>
      </c>
      <c r="L13" s="69">
        <v>43773</v>
      </c>
      <c r="M13" s="69">
        <v>43775</v>
      </c>
      <c r="N13" s="70">
        <f t="shared" si="1"/>
        <v>626.81500000000005</v>
      </c>
      <c r="O13" s="70">
        <f t="shared" si="1"/>
        <v>626.81500000000005</v>
      </c>
      <c r="P13" s="70">
        <f t="shared" si="0"/>
        <v>1253.6300000000001</v>
      </c>
      <c r="Q13" s="53">
        <v>3</v>
      </c>
      <c r="R13" s="70">
        <v>120</v>
      </c>
      <c r="S13" s="53">
        <v>0</v>
      </c>
      <c r="T13" s="70">
        <v>0</v>
      </c>
      <c r="U13" s="70">
        <f t="shared" si="2"/>
        <v>360</v>
      </c>
      <c r="V13" s="70">
        <f t="shared" si="3"/>
        <v>1613.63</v>
      </c>
      <c r="W13" s="70">
        <f t="shared" si="4"/>
        <v>1613.63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</row>
    <row r="14" spans="1:46" s="44" customFormat="1" ht="25.5">
      <c r="A14" s="94" t="s">
        <v>512</v>
      </c>
      <c r="B14" s="94" t="s">
        <v>512</v>
      </c>
      <c r="C14" s="94" t="s">
        <v>486</v>
      </c>
      <c r="D14" s="56" t="s">
        <v>107</v>
      </c>
      <c r="E14" s="66" t="s">
        <v>50</v>
      </c>
      <c r="F14" s="53" t="s">
        <v>108</v>
      </c>
      <c r="G14" s="53" t="s">
        <v>36</v>
      </c>
      <c r="H14" s="53" t="s">
        <v>37</v>
      </c>
      <c r="I14" s="53" t="s">
        <v>38</v>
      </c>
      <c r="J14" s="53" t="s">
        <v>109</v>
      </c>
      <c r="K14" s="53" t="s">
        <v>110</v>
      </c>
      <c r="L14" s="69">
        <v>43773</v>
      </c>
      <c r="M14" s="69">
        <v>43773</v>
      </c>
      <c r="N14" s="70">
        <f>803.27/2</f>
        <v>401.63499999999999</v>
      </c>
      <c r="O14" s="70">
        <f>803.27/2</f>
        <v>401.63499999999999</v>
      </c>
      <c r="P14" s="70">
        <f t="shared" si="0"/>
        <v>803.27</v>
      </c>
      <c r="Q14" s="53">
        <v>0</v>
      </c>
      <c r="R14" s="70">
        <v>0</v>
      </c>
      <c r="S14" s="53">
        <v>0</v>
      </c>
      <c r="T14" s="70">
        <v>0</v>
      </c>
      <c r="U14" s="70">
        <f t="shared" si="2"/>
        <v>0</v>
      </c>
      <c r="V14" s="70">
        <f t="shared" si="3"/>
        <v>803.27</v>
      </c>
      <c r="W14" s="70">
        <f t="shared" si="4"/>
        <v>803.27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</row>
    <row r="15" spans="1:46" s="44" customFormat="1">
      <c r="A15" s="94" t="s">
        <v>371</v>
      </c>
      <c r="B15" s="94" t="s">
        <v>273</v>
      </c>
      <c r="C15" s="94" t="s">
        <v>201</v>
      </c>
      <c r="D15" s="29" t="s">
        <v>202</v>
      </c>
      <c r="E15" s="20" t="s">
        <v>348</v>
      </c>
      <c r="F15" s="53" t="s">
        <v>542</v>
      </c>
      <c r="G15" s="53" t="s">
        <v>36</v>
      </c>
      <c r="H15" s="53" t="s">
        <v>37</v>
      </c>
      <c r="I15" s="53" t="s">
        <v>38</v>
      </c>
      <c r="J15" s="53" t="s">
        <v>39</v>
      </c>
      <c r="K15" s="53" t="s">
        <v>40</v>
      </c>
      <c r="L15" s="69">
        <v>43795</v>
      </c>
      <c r="M15" s="69">
        <v>43798</v>
      </c>
      <c r="N15" s="70">
        <f>1618.88/2</f>
        <v>809.44</v>
      </c>
      <c r="O15" s="70">
        <f>1618.88/2</f>
        <v>809.44</v>
      </c>
      <c r="P15" s="70">
        <f t="shared" si="0"/>
        <v>1618.88</v>
      </c>
      <c r="Q15" s="53">
        <v>4</v>
      </c>
      <c r="R15" s="70">
        <v>120</v>
      </c>
      <c r="S15" s="53">
        <v>3</v>
      </c>
      <c r="T15" s="70">
        <v>100</v>
      </c>
      <c r="U15" s="70">
        <f t="shared" si="2"/>
        <v>780</v>
      </c>
      <c r="V15" s="70">
        <f t="shared" si="3"/>
        <v>2398.88</v>
      </c>
      <c r="W15" s="70">
        <f t="shared" si="4"/>
        <v>2398.88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</row>
    <row r="16" spans="1:46" s="44" customFormat="1" ht="25.5">
      <c r="A16" s="94" t="s">
        <v>371</v>
      </c>
      <c r="B16" s="94" t="s">
        <v>273</v>
      </c>
      <c r="C16" s="94" t="s">
        <v>195</v>
      </c>
      <c r="D16" s="29" t="s">
        <v>145</v>
      </c>
      <c r="E16" s="20" t="s">
        <v>399</v>
      </c>
      <c r="F16" s="53" t="s">
        <v>542</v>
      </c>
      <c r="G16" s="53" t="s">
        <v>36</v>
      </c>
      <c r="H16" s="53" t="s">
        <v>37</v>
      </c>
      <c r="I16" s="53" t="s">
        <v>38</v>
      </c>
      <c r="J16" s="53" t="s">
        <v>39</v>
      </c>
      <c r="K16" s="53" t="s">
        <v>40</v>
      </c>
      <c r="L16" s="69">
        <v>43795</v>
      </c>
      <c r="M16" s="69">
        <v>43798</v>
      </c>
      <c r="N16" s="70">
        <f>1618.88/2</f>
        <v>809.44</v>
      </c>
      <c r="O16" s="70">
        <f>1618.88/2</f>
        <v>809.44</v>
      </c>
      <c r="P16" s="70">
        <f t="shared" si="0"/>
        <v>1618.88</v>
      </c>
      <c r="Q16" s="53">
        <v>4</v>
      </c>
      <c r="R16" s="70">
        <v>120</v>
      </c>
      <c r="S16" s="53">
        <v>0</v>
      </c>
      <c r="T16" s="70">
        <v>0</v>
      </c>
      <c r="U16" s="70">
        <f t="shared" si="2"/>
        <v>480</v>
      </c>
      <c r="V16" s="70">
        <f t="shared" si="3"/>
        <v>2098.88</v>
      </c>
      <c r="W16" s="70">
        <f t="shared" si="4"/>
        <v>2098.88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</row>
    <row r="17" spans="1:46" s="44" customFormat="1" ht="25.5">
      <c r="A17" s="94" t="s">
        <v>253</v>
      </c>
      <c r="B17" s="94" t="s">
        <v>253</v>
      </c>
      <c r="C17" s="94" t="s">
        <v>486</v>
      </c>
      <c r="D17" s="56" t="s">
        <v>107</v>
      </c>
      <c r="E17" s="66" t="s">
        <v>50</v>
      </c>
      <c r="F17" s="53" t="s">
        <v>543</v>
      </c>
      <c r="G17" s="53" t="s">
        <v>36</v>
      </c>
      <c r="H17" s="53" t="s">
        <v>37</v>
      </c>
      <c r="I17" s="53" t="s">
        <v>38</v>
      </c>
      <c r="J17" s="53" t="s">
        <v>37</v>
      </c>
      <c r="K17" s="53" t="s">
        <v>391</v>
      </c>
      <c r="L17" s="69">
        <v>43780</v>
      </c>
      <c r="M17" s="69">
        <v>43782</v>
      </c>
      <c r="N17" s="70">
        <f>1017.28/2</f>
        <v>508.64</v>
      </c>
      <c r="O17" s="70">
        <f>1017.28/2</f>
        <v>508.64</v>
      </c>
      <c r="P17" s="70">
        <f t="shared" si="0"/>
        <v>1017.28</v>
      </c>
      <c r="Q17" s="53">
        <v>0</v>
      </c>
      <c r="R17" s="70">
        <v>0</v>
      </c>
      <c r="S17" s="53">
        <v>0</v>
      </c>
      <c r="T17" s="70">
        <v>0</v>
      </c>
      <c r="U17" s="70">
        <f t="shared" si="2"/>
        <v>0</v>
      </c>
      <c r="V17" s="70">
        <f t="shared" si="3"/>
        <v>1017.28</v>
      </c>
      <c r="W17" s="70">
        <f t="shared" si="4"/>
        <v>1017.28</v>
      </c>
      <c r="X17" s="77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</row>
    <row r="18" spans="1:46" s="44" customFormat="1" ht="36.75" customHeight="1">
      <c r="A18" s="94" t="s">
        <v>253</v>
      </c>
      <c r="B18" s="94" t="s">
        <v>253</v>
      </c>
      <c r="C18" s="94" t="s">
        <v>320</v>
      </c>
      <c r="D18" s="56" t="s">
        <v>321</v>
      </c>
      <c r="E18" s="20" t="s">
        <v>343</v>
      </c>
      <c r="F18" s="53" t="s">
        <v>543</v>
      </c>
      <c r="G18" s="53" t="s">
        <v>36</v>
      </c>
      <c r="H18" s="53" t="s">
        <v>37</v>
      </c>
      <c r="I18" s="53" t="s">
        <v>38</v>
      </c>
      <c r="J18" s="53" t="s">
        <v>37</v>
      </c>
      <c r="K18" s="53" t="s">
        <v>391</v>
      </c>
      <c r="L18" s="69">
        <v>43780</v>
      </c>
      <c r="M18" s="69">
        <v>43782</v>
      </c>
      <c r="N18" s="70">
        <f>1076.12/2</f>
        <v>538.05999999999995</v>
      </c>
      <c r="O18" s="70">
        <f>1076.12/2</f>
        <v>538.05999999999995</v>
      </c>
      <c r="P18" s="70">
        <f t="shared" si="0"/>
        <v>1076.1199999999999</v>
      </c>
      <c r="Q18" s="53">
        <v>3</v>
      </c>
      <c r="R18" s="70">
        <v>120</v>
      </c>
      <c r="S18" s="53">
        <v>0</v>
      </c>
      <c r="T18" s="70">
        <v>0</v>
      </c>
      <c r="U18" s="70">
        <f t="shared" si="2"/>
        <v>360</v>
      </c>
      <c r="V18" s="70">
        <f t="shared" si="3"/>
        <v>1436.12</v>
      </c>
      <c r="W18" s="70">
        <f t="shared" si="4"/>
        <v>1436.12</v>
      </c>
      <c r="X18" s="77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</row>
    <row r="19" spans="1:46" s="44" customFormat="1" ht="25.5">
      <c r="A19" s="94" t="s">
        <v>231</v>
      </c>
      <c r="B19" s="94" t="s">
        <v>544</v>
      </c>
      <c r="C19" s="94" t="s">
        <v>545</v>
      </c>
      <c r="D19" s="29" t="s">
        <v>546</v>
      </c>
      <c r="E19" s="20" t="s">
        <v>547</v>
      </c>
      <c r="F19" s="53" t="s">
        <v>543</v>
      </c>
      <c r="G19" s="53" t="s">
        <v>36</v>
      </c>
      <c r="H19" s="53" t="s">
        <v>37</v>
      </c>
      <c r="I19" s="53" t="s">
        <v>38</v>
      </c>
      <c r="J19" s="53" t="s">
        <v>37</v>
      </c>
      <c r="K19" s="53" t="s">
        <v>391</v>
      </c>
      <c r="L19" s="69">
        <v>43780</v>
      </c>
      <c r="M19" s="69">
        <v>43782</v>
      </c>
      <c r="N19" s="70">
        <f>1253.63/2</f>
        <v>626.81500000000005</v>
      </c>
      <c r="O19" s="70">
        <f>1253.63/2</f>
        <v>626.81500000000005</v>
      </c>
      <c r="P19" s="70">
        <f t="shared" si="0"/>
        <v>1253.6300000000001</v>
      </c>
      <c r="Q19" s="53">
        <v>3</v>
      </c>
      <c r="R19" s="70">
        <v>120</v>
      </c>
      <c r="S19" s="53">
        <v>0</v>
      </c>
      <c r="T19" s="70">
        <v>0</v>
      </c>
      <c r="U19" s="70">
        <f t="shared" si="2"/>
        <v>360</v>
      </c>
      <c r="V19" s="70">
        <f t="shared" si="3"/>
        <v>1613.63</v>
      </c>
      <c r="W19" s="70">
        <f t="shared" si="4"/>
        <v>1613.63</v>
      </c>
      <c r="X19" s="53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</row>
    <row r="20" spans="1:46" ht="38.25">
      <c r="A20" s="94" t="s">
        <v>371</v>
      </c>
      <c r="B20" s="94" t="s">
        <v>371</v>
      </c>
      <c r="C20" s="163" t="s">
        <v>79</v>
      </c>
      <c r="D20" s="29" t="s">
        <v>107</v>
      </c>
      <c r="E20" s="20" t="s">
        <v>80</v>
      </c>
      <c r="F20" s="53" t="s">
        <v>548</v>
      </c>
      <c r="G20" s="53" t="s">
        <v>36</v>
      </c>
      <c r="H20" s="53" t="s">
        <v>37</v>
      </c>
      <c r="I20" s="53" t="s">
        <v>38</v>
      </c>
      <c r="J20" s="53" t="s">
        <v>39</v>
      </c>
      <c r="K20" s="53" t="s">
        <v>40</v>
      </c>
      <c r="L20" s="69">
        <v>43789</v>
      </c>
      <c r="M20" s="69">
        <v>43790</v>
      </c>
      <c r="N20" s="70">
        <f>1519.88/2</f>
        <v>759.94</v>
      </c>
      <c r="O20" s="70">
        <f>1519.88/2</f>
        <v>759.94</v>
      </c>
      <c r="P20" s="70">
        <f t="shared" si="0"/>
        <v>1519.88</v>
      </c>
      <c r="Q20" s="53">
        <v>0</v>
      </c>
      <c r="R20" s="70">
        <v>0</v>
      </c>
      <c r="S20" s="53">
        <v>0</v>
      </c>
      <c r="T20" s="70">
        <v>0</v>
      </c>
      <c r="U20" s="70">
        <f t="shared" si="2"/>
        <v>0</v>
      </c>
      <c r="V20" s="70">
        <f t="shared" si="3"/>
        <v>1519.88</v>
      </c>
      <c r="W20" s="70">
        <f t="shared" si="4"/>
        <v>1519.88</v>
      </c>
      <c r="X20" s="53"/>
    </row>
    <row r="21" spans="1:46">
      <c r="A21" s="94" t="s">
        <v>371</v>
      </c>
      <c r="B21" s="94" t="s">
        <v>371</v>
      </c>
      <c r="C21" s="94" t="s">
        <v>137</v>
      </c>
      <c r="D21" s="29" t="s">
        <v>141</v>
      </c>
      <c r="E21" s="20" t="s">
        <v>411</v>
      </c>
      <c r="F21" s="53" t="s">
        <v>548</v>
      </c>
      <c r="G21" s="53" t="s">
        <v>36</v>
      </c>
      <c r="H21" s="53" t="s">
        <v>37</v>
      </c>
      <c r="I21" s="53" t="s">
        <v>38</v>
      </c>
      <c r="J21" s="53" t="s">
        <v>39</v>
      </c>
      <c r="K21" s="53" t="s">
        <v>40</v>
      </c>
      <c r="L21" s="69">
        <v>43789</v>
      </c>
      <c r="M21" s="69">
        <v>43790</v>
      </c>
      <c r="N21" s="70">
        <f>1519.88/2</f>
        <v>759.94</v>
      </c>
      <c r="O21" s="70">
        <f>1519.88/2</f>
        <v>759.94</v>
      </c>
      <c r="P21" s="70">
        <f t="shared" si="0"/>
        <v>1519.88</v>
      </c>
      <c r="Q21" s="53">
        <v>2</v>
      </c>
      <c r="R21" s="70">
        <v>120</v>
      </c>
      <c r="S21" s="53">
        <v>0</v>
      </c>
      <c r="T21" s="70">
        <v>0</v>
      </c>
      <c r="U21" s="70">
        <f t="shared" si="2"/>
        <v>240</v>
      </c>
      <c r="V21" s="70">
        <f t="shared" si="3"/>
        <v>1759.88</v>
      </c>
      <c r="W21" s="70">
        <f t="shared" si="4"/>
        <v>1759.88</v>
      </c>
      <c r="X21" s="53"/>
    </row>
    <row r="22" spans="1:46" ht="25.5">
      <c r="A22" s="94" t="s">
        <v>512</v>
      </c>
      <c r="B22" s="94" t="s">
        <v>512</v>
      </c>
      <c r="C22" s="94" t="s">
        <v>486</v>
      </c>
      <c r="D22" s="56" t="s">
        <v>107</v>
      </c>
      <c r="E22" s="66" t="s">
        <v>50</v>
      </c>
      <c r="F22" s="53" t="s">
        <v>548</v>
      </c>
      <c r="G22" s="53" t="s">
        <v>36</v>
      </c>
      <c r="H22" s="53" t="s">
        <v>37</v>
      </c>
      <c r="I22" s="53" t="s">
        <v>38</v>
      </c>
      <c r="J22" s="53" t="s">
        <v>39</v>
      </c>
      <c r="K22" s="53" t="s">
        <v>40</v>
      </c>
      <c r="L22" s="69">
        <v>43789</v>
      </c>
      <c r="M22" s="69">
        <v>43790</v>
      </c>
      <c r="N22" s="70">
        <f>1450.8/2</f>
        <v>725.4</v>
      </c>
      <c r="O22" s="70">
        <f>1450.8/2</f>
        <v>725.4</v>
      </c>
      <c r="P22" s="70">
        <f t="shared" si="0"/>
        <v>1450.8</v>
      </c>
      <c r="Q22" s="53">
        <v>0</v>
      </c>
      <c r="R22" s="70">
        <v>0</v>
      </c>
      <c r="S22" s="53">
        <v>0</v>
      </c>
      <c r="T22" s="70">
        <v>0</v>
      </c>
      <c r="U22" s="70">
        <f t="shared" si="2"/>
        <v>0</v>
      </c>
      <c r="V22" s="70">
        <f t="shared" si="3"/>
        <v>1450.8</v>
      </c>
      <c r="W22" s="70">
        <f t="shared" si="4"/>
        <v>1450.8</v>
      </c>
      <c r="X22" s="53"/>
    </row>
    <row r="23" spans="1:46" ht="25.5">
      <c r="A23" s="94" t="s">
        <v>512</v>
      </c>
      <c r="B23" s="94" t="s">
        <v>253</v>
      </c>
      <c r="C23" s="94" t="s">
        <v>320</v>
      </c>
      <c r="D23" s="56" t="s">
        <v>321</v>
      </c>
      <c r="E23" s="20" t="s">
        <v>343</v>
      </c>
      <c r="F23" s="53" t="s">
        <v>548</v>
      </c>
      <c r="G23" s="53" t="s">
        <v>36</v>
      </c>
      <c r="H23" s="53" t="s">
        <v>37</v>
      </c>
      <c r="I23" s="53" t="s">
        <v>38</v>
      </c>
      <c r="J23" s="53" t="s">
        <v>39</v>
      </c>
      <c r="K23" s="53" t="s">
        <v>40</v>
      </c>
      <c r="L23" s="69">
        <v>43789</v>
      </c>
      <c r="M23" s="69">
        <v>43790</v>
      </c>
      <c r="N23" s="70">
        <f>1450.8/2</f>
        <v>725.4</v>
      </c>
      <c r="O23" s="70">
        <f>1450.8/2</f>
        <v>725.4</v>
      </c>
      <c r="P23" s="70">
        <f t="shared" si="0"/>
        <v>1450.8</v>
      </c>
      <c r="Q23" s="53">
        <v>2</v>
      </c>
      <c r="R23" s="70">
        <v>120</v>
      </c>
      <c r="S23" s="53">
        <v>0</v>
      </c>
      <c r="T23" s="70">
        <v>0</v>
      </c>
      <c r="U23" s="70">
        <f t="shared" si="2"/>
        <v>240</v>
      </c>
      <c r="V23" s="70">
        <f t="shared" si="3"/>
        <v>1690.8</v>
      </c>
      <c r="W23" s="70">
        <f t="shared" si="4"/>
        <v>1690.8</v>
      </c>
      <c r="X23" s="53"/>
    </row>
    <row r="24" spans="1:46" ht="25.5">
      <c r="A24" s="94" t="s">
        <v>231</v>
      </c>
      <c r="B24" s="94" t="s">
        <v>221</v>
      </c>
      <c r="C24" s="94" t="s">
        <v>54</v>
      </c>
      <c r="D24" s="29" t="s">
        <v>88</v>
      </c>
      <c r="E24" s="20" t="s">
        <v>55</v>
      </c>
      <c r="F24" s="53" t="s">
        <v>357</v>
      </c>
      <c r="G24" s="53" t="s">
        <v>36</v>
      </c>
      <c r="H24" s="53" t="s">
        <v>37</v>
      </c>
      <c r="I24" s="53" t="s">
        <v>38</v>
      </c>
      <c r="J24" s="53" t="s">
        <v>39</v>
      </c>
      <c r="K24" s="53" t="s">
        <v>40</v>
      </c>
      <c r="L24" s="69">
        <v>43797</v>
      </c>
      <c r="M24" s="69">
        <v>43797</v>
      </c>
      <c r="N24" s="70">
        <f>1609.79/2</f>
        <v>804.89499999999998</v>
      </c>
      <c r="O24" s="70">
        <f>1609.79/2</f>
        <v>804.89499999999998</v>
      </c>
      <c r="P24" s="70">
        <f t="shared" si="0"/>
        <v>1609.79</v>
      </c>
      <c r="Q24" s="53">
        <v>2</v>
      </c>
      <c r="R24" s="70">
        <v>120</v>
      </c>
      <c r="S24" s="53">
        <v>0</v>
      </c>
      <c r="T24" s="70">
        <v>0</v>
      </c>
      <c r="U24" s="70">
        <f t="shared" si="2"/>
        <v>240</v>
      </c>
      <c r="V24" s="70">
        <f t="shared" si="3"/>
        <v>1849.79</v>
      </c>
      <c r="W24" s="70">
        <f t="shared" si="4"/>
        <v>1849.79</v>
      </c>
      <c r="X24" s="53"/>
    </row>
    <row r="25" spans="1:46" ht="25.5">
      <c r="A25" s="94" t="s">
        <v>512</v>
      </c>
      <c r="B25" s="94" t="s">
        <v>253</v>
      </c>
      <c r="C25" s="94" t="s">
        <v>486</v>
      </c>
      <c r="D25" s="56" t="s">
        <v>107</v>
      </c>
      <c r="E25" s="66" t="s">
        <v>50</v>
      </c>
      <c r="F25" s="53" t="s">
        <v>357</v>
      </c>
      <c r="G25" s="53" t="s">
        <v>36</v>
      </c>
      <c r="H25" s="53" t="s">
        <v>37</v>
      </c>
      <c r="I25" s="53" t="s">
        <v>38</v>
      </c>
      <c r="J25" s="53" t="s">
        <v>39</v>
      </c>
      <c r="K25" s="53" t="s">
        <v>40</v>
      </c>
      <c r="L25" s="69">
        <v>43797</v>
      </c>
      <c r="M25" s="69">
        <v>43797</v>
      </c>
      <c r="N25" s="70">
        <f>1312.2/2</f>
        <v>656.1</v>
      </c>
      <c r="O25" s="70">
        <f>1312.2/2</f>
        <v>656.1</v>
      </c>
      <c r="P25" s="70">
        <f t="shared" si="0"/>
        <v>1312.2</v>
      </c>
      <c r="Q25" s="53">
        <v>0</v>
      </c>
      <c r="R25" s="70">
        <v>0</v>
      </c>
      <c r="S25" s="53">
        <v>0</v>
      </c>
      <c r="T25" s="70">
        <v>0</v>
      </c>
      <c r="U25" s="70">
        <f t="shared" si="2"/>
        <v>0</v>
      </c>
      <c r="V25" s="70">
        <f t="shared" si="3"/>
        <v>1312.2</v>
      </c>
      <c r="W25" s="70">
        <f t="shared" si="4"/>
        <v>1312.2</v>
      </c>
      <c r="X25" s="53"/>
    </row>
    <row r="26" spans="1:46">
      <c r="A26" s="94" t="s">
        <v>371</v>
      </c>
      <c r="B26" s="94" t="s">
        <v>273</v>
      </c>
      <c r="C26" s="94" t="s">
        <v>549</v>
      </c>
      <c r="D26" s="29" t="s">
        <v>550</v>
      </c>
      <c r="E26" s="20" t="s">
        <v>348</v>
      </c>
      <c r="F26" s="53" t="s">
        <v>551</v>
      </c>
      <c r="G26" s="53" t="s">
        <v>36</v>
      </c>
      <c r="H26" s="53" t="s">
        <v>37</v>
      </c>
      <c r="I26" s="53" t="s">
        <v>38</v>
      </c>
      <c r="J26" s="53" t="s">
        <v>39</v>
      </c>
      <c r="K26" s="53" t="s">
        <v>40</v>
      </c>
      <c r="L26" s="69">
        <v>43795</v>
      </c>
      <c r="M26" s="69">
        <v>43797</v>
      </c>
      <c r="N26" s="70">
        <f>1652.58/2</f>
        <v>826.29</v>
      </c>
      <c r="O26" s="70">
        <f>1652.58/2</f>
        <v>826.29</v>
      </c>
      <c r="P26" s="70">
        <f t="shared" si="0"/>
        <v>1652.58</v>
      </c>
      <c r="Q26" s="53">
        <v>3</v>
      </c>
      <c r="R26" s="70">
        <v>120</v>
      </c>
      <c r="S26" s="53">
        <v>3</v>
      </c>
      <c r="T26" s="70">
        <v>100</v>
      </c>
      <c r="U26" s="70">
        <f t="shared" si="2"/>
        <v>660</v>
      </c>
      <c r="V26" s="70">
        <f t="shared" si="3"/>
        <v>2312.58</v>
      </c>
      <c r="W26" s="70">
        <f t="shared" si="4"/>
        <v>2312.58</v>
      </c>
      <c r="X26" s="53"/>
    </row>
    <row r="27" spans="1:46" ht="25.5">
      <c r="A27" s="94" t="s">
        <v>512</v>
      </c>
      <c r="B27" s="94" t="s">
        <v>253</v>
      </c>
      <c r="C27" s="94" t="s">
        <v>486</v>
      </c>
      <c r="D27" s="56" t="s">
        <v>107</v>
      </c>
      <c r="E27" s="66" t="s">
        <v>50</v>
      </c>
      <c r="F27" s="53" t="s">
        <v>552</v>
      </c>
      <c r="G27" s="53" t="s">
        <v>36</v>
      </c>
      <c r="H27" s="53" t="s">
        <v>37</v>
      </c>
      <c r="I27" s="53" t="s">
        <v>38</v>
      </c>
      <c r="J27" s="53" t="s">
        <v>39</v>
      </c>
      <c r="K27" s="53" t="s">
        <v>40</v>
      </c>
      <c r="L27" s="69">
        <v>43795</v>
      </c>
      <c r="M27" s="69">
        <v>43797</v>
      </c>
      <c r="N27" s="70">
        <f>1881.08/2</f>
        <v>940.54</v>
      </c>
      <c r="O27" s="70">
        <f>1881.08/2</f>
        <v>940.54</v>
      </c>
      <c r="P27" s="70">
        <f t="shared" si="0"/>
        <v>1881.08</v>
      </c>
      <c r="Q27" s="53">
        <v>0</v>
      </c>
      <c r="R27" s="70">
        <v>0</v>
      </c>
      <c r="S27" s="53">
        <v>0</v>
      </c>
      <c r="T27" s="70">
        <v>0</v>
      </c>
      <c r="U27" s="70">
        <f t="shared" si="2"/>
        <v>0</v>
      </c>
      <c r="V27" s="70">
        <f t="shared" si="3"/>
        <v>1881.08</v>
      </c>
      <c r="W27" s="70">
        <f t="shared" si="4"/>
        <v>1881.08</v>
      </c>
      <c r="X27" s="5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T16"/>
  <sheetViews>
    <sheetView topLeftCell="A6" workbookViewId="0">
      <selection activeCell="A14" sqref="A14:E14"/>
    </sheetView>
  </sheetViews>
  <sheetFormatPr defaultRowHeight="15" customHeight="1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1" width="18" customWidth="1"/>
    <col min="1002" max="1002" width="9" customWidth="1"/>
  </cols>
  <sheetData>
    <row r="1" spans="1:46" ht="14.25" hidden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62" t="s">
        <v>0</v>
      </c>
      <c r="W5" s="162"/>
      <c r="X5" s="72">
        <v>43586</v>
      </c>
    </row>
    <row r="6" spans="1:46">
      <c r="A6" s="96" t="s">
        <v>1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</row>
    <row r="7" spans="1:46">
      <c r="A7" s="96" t="s">
        <v>2</v>
      </c>
      <c r="B7" s="96"/>
      <c r="C7" s="96" t="s">
        <v>3</v>
      </c>
      <c r="D7" s="96"/>
      <c r="E7" s="96"/>
      <c r="F7" s="96" t="s">
        <v>4</v>
      </c>
      <c r="G7" s="96"/>
      <c r="H7" s="96"/>
      <c r="I7" s="96"/>
      <c r="J7" s="96"/>
      <c r="K7" s="96"/>
      <c r="L7" s="96"/>
      <c r="M7" s="96"/>
      <c r="N7" s="96" t="s">
        <v>5</v>
      </c>
      <c r="O7" s="96"/>
      <c r="P7" s="96"/>
      <c r="Q7" s="96" t="s">
        <v>6</v>
      </c>
      <c r="R7" s="96"/>
      <c r="S7" s="96"/>
      <c r="T7" s="96"/>
      <c r="U7" s="96"/>
      <c r="V7" s="96"/>
      <c r="W7" s="96" t="s">
        <v>7</v>
      </c>
      <c r="X7" s="149" t="s">
        <v>8</v>
      </c>
    </row>
    <row r="8" spans="1:46" s="9" customFormat="1">
      <c r="A8" s="97" t="s">
        <v>9</v>
      </c>
      <c r="B8" s="97" t="s">
        <v>10</v>
      </c>
      <c r="C8" s="97" t="s">
        <v>11</v>
      </c>
      <c r="D8" s="97" t="s">
        <v>12</v>
      </c>
      <c r="E8" s="97" t="s">
        <v>13</v>
      </c>
      <c r="F8" s="97" t="s">
        <v>14</v>
      </c>
      <c r="G8" s="97" t="s">
        <v>15</v>
      </c>
      <c r="H8" s="97" t="s">
        <v>16</v>
      </c>
      <c r="I8" s="97"/>
      <c r="J8" s="98" t="s">
        <v>17</v>
      </c>
      <c r="K8" s="98"/>
      <c r="L8" s="97" t="s">
        <v>18</v>
      </c>
      <c r="M8" s="97" t="s">
        <v>19</v>
      </c>
      <c r="N8" s="98" t="s">
        <v>20</v>
      </c>
      <c r="O8" s="98" t="s">
        <v>21</v>
      </c>
      <c r="P8" s="98" t="s">
        <v>22</v>
      </c>
      <c r="Q8" s="98" t="s">
        <v>23</v>
      </c>
      <c r="R8" s="98"/>
      <c r="S8" s="98" t="s">
        <v>24</v>
      </c>
      <c r="T8" s="98"/>
      <c r="U8" s="97" t="s">
        <v>25</v>
      </c>
      <c r="V8" s="98" t="s">
        <v>22</v>
      </c>
      <c r="W8" s="96"/>
      <c r="X8" s="149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6" s="9" customFormat="1" ht="17.25" customHeight="1">
      <c r="A9" s="97"/>
      <c r="B9" s="97"/>
      <c r="C9" s="97"/>
      <c r="D9" s="97"/>
      <c r="E9" s="97"/>
      <c r="F9" s="97"/>
      <c r="G9" s="97"/>
      <c r="H9" s="10" t="s">
        <v>26</v>
      </c>
      <c r="I9" s="10" t="s">
        <v>27</v>
      </c>
      <c r="J9" s="10" t="s">
        <v>26</v>
      </c>
      <c r="K9" s="11" t="s">
        <v>28</v>
      </c>
      <c r="L9" s="97"/>
      <c r="M9" s="97"/>
      <c r="N9" s="98"/>
      <c r="O9" s="98"/>
      <c r="P9" s="98"/>
      <c r="Q9" s="10" t="s">
        <v>29</v>
      </c>
      <c r="R9" s="11" t="s">
        <v>30</v>
      </c>
      <c r="S9" s="10" t="s">
        <v>29</v>
      </c>
      <c r="T9" s="11" t="s">
        <v>30</v>
      </c>
      <c r="U9" s="97"/>
      <c r="V9" s="98"/>
      <c r="W9" s="96"/>
      <c r="X9" s="150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6" s="44" customFormat="1">
      <c r="A10" s="94" t="s">
        <v>371</v>
      </c>
      <c r="B10" s="94" t="s">
        <v>273</v>
      </c>
      <c r="C10" s="78" t="s">
        <v>282</v>
      </c>
      <c r="D10" s="29" t="s">
        <v>553</v>
      </c>
      <c r="E10" s="20" t="s">
        <v>348</v>
      </c>
      <c r="F10" s="53" t="s">
        <v>554</v>
      </c>
      <c r="G10" s="53" t="s">
        <v>36</v>
      </c>
      <c r="H10" s="53" t="s">
        <v>37</v>
      </c>
      <c r="I10" s="53" t="s">
        <v>38</v>
      </c>
      <c r="J10" s="53" t="s">
        <v>62</v>
      </c>
      <c r="K10" s="53" t="s">
        <v>63</v>
      </c>
      <c r="L10" s="69">
        <v>43807</v>
      </c>
      <c r="M10" s="69">
        <v>43811</v>
      </c>
      <c r="N10" s="70">
        <f>1766.28/2</f>
        <v>883.14</v>
      </c>
      <c r="O10" s="70">
        <f>1766.28/2</f>
        <v>883.14</v>
      </c>
      <c r="P10" s="70">
        <f t="shared" ref="P10:P16" si="0">SUM(N10:O10)</f>
        <v>1766.28</v>
      </c>
      <c r="Q10" s="53">
        <v>5</v>
      </c>
      <c r="R10" s="70">
        <v>120</v>
      </c>
      <c r="S10" s="53">
        <v>0</v>
      </c>
      <c r="T10" s="70">
        <v>0</v>
      </c>
      <c r="U10" s="70">
        <f>(Q10*R10)+(S10*T10)</f>
        <v>600</v>
      </c>
      <c r="V10" s="70">
        <f>U10+P10</f>
        <v>2366.2799999999997</v>
      </c>
      <c r="W10" s="70">
        <f>V10</f>
        <v>2366.2799999999997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</row>
    <row r="11" spans="1:46" s="44" customFormat="1">
      <c r="A11" s="94" t="s">
        <v>371</v>
      </c>
      <c r="B11" s="94" t="s">
        <v>226</v>
      </c>
      <c r="C11" s="94" t="s">
        <v>206</v>
      </c>
      <c r="D11" s="29" t="s">
        <v>207</v>
      </c>
      <c r="E11" s="20" t="s">
        <v>208</v>
      </c>
      <c r="F11" s="53" t="s">
        <v>357</v>
      </c>
      <c r="G11" s="53" t="s">
        <v>36</v>
      </c>
      <c r="H11" s="53" t="s">
        <v>37</v>
      </c>
      <c r="I11" s="53" t="s">
        <v>38</v>
      </c>
      <c r="J11" s="53" t="s">
        <v>39</v>
      </c>
      <c r="K11" s="53" t="s">
        <v>40</v>
      </c>
      <c r="L11" s="69">
        <v>43808</v>
      </c>
      <c r="M11" s="69">
        <v>43808</v>
      </c>
      <c r="N11" s="70">
        <f>1072.59/2</f>
        <v>536.29499999999996</v>
      </c>
      <c r="O11" s="70">
        <f>1072.59/2</f>
        <v>536.29499999999996</v>
      </c>
      <c r="P11" s="70">
        <f t="shared" si="0"/>
        <v>1072.5899999999999</v>
      </c>
      <c r="Q11" s="53">
        <v>1</v>
      </c>
      <c r="R11" s="70">
        <v>120</v>
      </c>
      <c r="S11" s="53">
        <v>2</v>
      </c>
      <c r="T11" s="70">
        <v>100</v>
      </c>
      <c r="U11" s="70">
        <f t="shared" ref="U11:U16" si="1">(Q11*R11)+(S11*T11)</f>
        <v>320</v>
      </c>
      <c r="V11" s="70">
        <f t="shared" ref="V11:V16" si="2">U11+P11</f>
        <v>1392.59</v>
      </c>
      <c r="W11" s="70">
        <f t="shared" ref="W11:W16" si="3">V11</f>
        <v>1392.59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</row>
    <row r="12" spans="1:46" s="44" customFormat="1" ht="25.5">
      <c r="A12" s="94" t="s">
        <v>231</v>
      </c>
      <c r="B12" s="94" t="s">
        <v>221</v>
      </c>
      <c r="C12" s="76" t="s">
        <v>54</v>
      </c>
      <c r="D12" s="29" t="s">
        <v>88</v>
      </c>
      <c r="E12" s="20" t="s">
        <v>55</v>
      </c>
      <c r="F12" s="53" t="s">
        <v>357</v>
      </c>
      <c r="G12" s="53" t="s">
        <v>36</v>
      </c>
      <c r="H12" s="53" t="s">
        <v>37</v>
      </c>
      <c r="I12" s="53" t="s">
        <v>38</v>
      </c>
      <c r="J12" s="53" t="s">
        <v>39</v>
      </c>
      <c r="K12" s="53" t="s">
        <v>40</v>
      </c>
      <c r="L12" s="69">
        <v>43808</v>
      </c>
      <c r="M12" s="69">
        <v>43808</v>
      </c>
      <c r="N12" s="70">
        <f>1134.88/2</f>
        <v>567.44000000000005</v>
      </c>
      <c r="O12" s="70">
        <f>1134.88/2</f>
        <v>567.44000000000005</v>
      </c>
      <c r="P12" s="70">
        <f t="shared" si="0"/>
        <v>1134.8800000000001</v>
      </c>
      <c r="Q12" s="53">
        <v>1</v>
      </c>
      <c r="R12" s="70">
        <v>120</v>
      </c>
      <c r="S12" s="53">
        <v>1</v>
      </c>
      <c r="T12" s="70">
        <v>120</v>
      </c>
      <c r="U12" s="70">
        <f t="shared" si="1"/>
        <v>240</v>
      </c>
      <c r="V12" s="70">
        <f t="shared" si="2"/>
        <v>1374.88</v>
      </c>
      <c r="W12" s="70">
        <f t="shared" si="3"/>
        <v>1374.88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</row>
    <row r="13" spans="1:46" s="44" customFormat="1" ht="25.5">
      <c r="A13" s="94" t="s">
        <v>253</v>
      </c>
      <c r="B13" s="94" t="s">
        <v>253</v>
      </c>
      <c r="C13" s="163" t="s">
        <v>486</v>
      </c>
      <c r="D13" s="56" t="s">
        <v>107</v>
      </c>
      <c r="E13" s="66" t="s">
        <v>50</v>
      </c>
      <c r="F13" s="53" t="s">
        <v>555</v>
      </c>
      <c r="G13" s="53" t="s">
        <v>36</v>
      </c>
      <c r="H13" s="53" t="s">
        <v>37</v>
      </c>
      <c r="I13" s="53" t="s">
        <v>38</v>
      </c>
      <c r="J13" s="53" t="s">
        <v>409</v>
      </c>
      <c r="K13" s="53" t="s">
        <v>410</v>
      </c>
      <c r="L13" s="69">
        <v>43807</v>
      </c>
      <c r="M13" s="69">
        <v>43808</v>
      </c>
      <c r="N13" s="70">
        <f>747.92/2</f>
        <v>373.96</v>
      </c>
      <c r="O13" s="70">
        <f>747.92/2</f>
        <v>373.96</v>
      </c>
      <c r="P13" s="70">
        <f t="shared" si="0"/>
        <v>747.92</v>
      </c>
      <c r="Q13" s="53">
        <v>0</v>
      </c>
      <c r="R13" s="70">
        <v>0</v>
      </c>
      <c r="S13" s="53">
        <v>0</v>
      </c>
      <c r="T13" s="70">
        <v>0</v>
      </c>
      <c r="U13" s="70">
        <f t="shared" si="1"/>
        <v>0</v>
      </c>
      <c r="V13" s="70">
        <f t="shared" si="2"/>
        <v>747.92</v>
      </c>
      <c r="W13" s="70">
        <f t="shared" si="3"/>
        <v>747.92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</row>
    <row r="14" spans="1:46" s="44" customFormat="1" ht="25.5">
      <c r="A14" s="94" t="s">
        <v>253</v>
      </c>
      <c r="B14" s="94" t="s">
        <v>259</v>
      </c>
      <c r="C14" s="94" t="s">
        <v>320</v>
      </c>
      <c r="D14" s="56" t="s">
        <v>321</v>
      </c>
      <c r="E14" s="20" t="s">
        <v>343</v>
      </c>
      <c r="F14" s="53" t="s">
        <v>555</v>
      </c>
      <c r="G14" s="53" t="s">
        <v>36</v>
      </c>
      <c r="H14" s="53" t="s">
        <v>37</v>
      </c>
      <c r="I14" s="53" t="s">
        <v>38</v>
      </c>
      <c r="J14" s="53" t="s">
        <v>409</v>
      </c>
      <c r="K14" s="53" t="s">
        <v>410</v>
      </c>
      <c r="L14" s="69">
        <v>43807</v>
      </c>
      <c r="M14" s="69">
        <v>43808</v>
      </c>
      <c r="N14" s="70">
        <f>972.48/2</f>
        <v>486.24</v>
      </c>
      <c r="O14" s="70">
        <f>972.48/2</f>
        <v>486.24</v>
      </c>
      <c r="P14" s="70">
        <f t="shared" si="0"/>
        <v>972.48</v>
      </c>
      <c r="Q14" s="53">
        <v>2</v>
      </c>
      <c r="R14" s="70">
        <v>120</v>
      </c>
      <c r="S14" s="53">
        <v>0</v>
      </c>
      <c r="T14" s="70">
        <v>0</v>
      </c>
      <c r="U14" s="70">
        <f t="shared" si="1"/>
        <v>240</v>
      </c>
      <c r="V14" s="70">
        <f t="shared" si="2"/>
        <v>1212.48</v>
      </c>
      <c r="W14" s="70">
        <f t="shared" si="3"/>
        <v>1212.48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</row>
    <row r="15" spans="1:46" s="44" customFormat="1" ht="25.5">
      <c r="A15" s="94" t="s">
        <v>253</v>
      </c>
      <c r="B15" s="94" t="s">
        <v>288</v>
      </c>
      <c r="C15" s="94" t="s">
        <v>375</v>
      </c>
      <c r="D15" s="29" t="s">
        <v>376</v>
      </c>
      <c r="E15" s="20" t="s">
        <v>98</v>
      </c>
      <c r="F15" s="53" t="s">
        <v>556</v>
      </c>
      <c r="G15" s="53" t="s">
        <v>36</v>
      </c>
      <c r="H15" s="53" t="s">
        <v>37</v>
      </c>
      <c r="I15" s="53" t="s">
        <v>38</v>
      </c>
      <c r="J15" s="53" t="s">
        <v>62</v>
      </c>
      <c r="K15" s="53" t="s">
        <v>63</v>
      </c>
      <c r="L15" s="69">
        <v>43800</v>
      </c>
      <c r="M15" s="69">
        <v>43803</v>
      </c>
      <c r="N15" s="70">
        <f>1715.52/2</f>
        <v>857.76</v>
      </c>
      <c r="O15" s="70">
        <f>1715.52/2</f>
        <v>857.76</v>
      </c>
      <c r="P15" s="70">
        <f t="shared" si="0"/>
        <v>1715.52</v>
      </c>
      <c r="Q15" s="53">
        <v>4</v>
      </c>
      <c r="R15" s="70">
        <v>120</v>
      </c>
      <c r="S15" s="53">
        <v>0</v>
      </c>
      <c r="T15" s="70">
        <v>0</v>
      </c>
      <c r="U15" s="70">
        <f t="shared" si="1"/>
        <v>480</v>
      </c>
      <c r="V15" s="70">
        <f t="shared" si="2"/>
        <v>2195.52</v>
      </c>
      <c r="W15" s="70">
        <f t="shared" si="3"/>
        <v>2195.52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</row>
    <row r="16" spans="1:46" s="44" customFormat="1" ht="25.5">
      <c r="A16" s="94" t="s">
        <v>253</v>
      </c>
      <c r="B16" s="94" t="s">
        <v>212</v>
      </c>
      <c r="C16" s="94" t="s">
        <v>100</v>
      </c>
      <c r="D16" s="29" t="s">
        <v>101</v>
      </c>
      <c r="E16" s="20" t="s">
        <v>102</v>
      </c>
      <c r="F16" s="53" t="s">
        <v>557</v>
      </c>
      <c r="G16" s="53" t="s">
        <v>36</v>
      </c>
      <c r="H16" s="53" t="s">
        <v>37</v>
      </c>
      <c r="I16" s="53" t="s">
        <v>38</v>
      </c>
      <c r="J16" s="53" t="s">
        <v>62</v>
      </c>
      <c r="K16" s="53" t="s">
        <v>414</v>
      </c>
      <c r="L16" s="69">
        <v>43808</v>
      </c>
      <c r="M16" s="69">
        <v>43812</v>
      </c>
      <c r="N16" s="70">
        <v>2985.81</v>
      </c>
      <c r="O16" s="70">
        <v>1062</v>
      </c>
      <c r="P16" s="70">
        <f t="shared" si="0"/>
        <v>4047.81</v>
      </c>
      <c r="Q16" s="53">
        <v>5</v>
      </c>
      <c r="R16" s="70">
        <v>120</v>
      </c>
      <c r="S16" s="53">
        <v>5</v>
      </c>
      <c r="T16" s="70">
        <v>100</v>
      </c>
      <c r="U16" s="70">
        <f t="shared" si="1"/>
        <v>1100</v>
      </c>
      <c r="V16" s="70">
        <f t="shared" si="2"/>
        <v>5147.8099999999995</v>
      </c>
      <c r="W16" s="70">
        <f t="shared" si="3"/>
        <v>5147.8099999999995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T13"/>
  <sheetViews>
    <sheetView topLeftCell="A6" workbookViewId="0">
      <selection activeCell="A10" sqref="A10:B10"/>
    </sheetView>
  </sheetViews>
  <sheetFormatPr defaultRowHeight="15" customHeight="1"/>
  <cols>
    <col min="1" max="1" width="38.375" customWidth="1"/>
    <col min="2" max="2" width="41.3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1" width="18" customWidth="1"/>
    <col min="1002" max="1002" width="9" customWidth="1"/>
  </cols>
  <sheetData>
    <row r="1" spans="1:46" ht="14.25" hidden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62" t="s">
        <v>0</v>
      </c>
      <c r="W5" s="162"/>
      <c r="X5" s="72">
        <v>43586</v>
      </c>
    </row>
    <row r="6" spans="1:46">
      <c r="A6" s="96" t="s">
        <v>1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</row>
    <row r="7" spans="1:46">
      <c r="A7" s="96" t="s">
        <v>2</v>
      </c>
      <c r="B7" s="96"/>
      <c r="C7" s="96" t="s">
        <v>3</v>
      </c>
      <c r="D7" s="96"/>
      <c r="E7" s="96"/>
      <c r="F7" s="96" t="s">
        <v>4</v>
      </c>
      <c r="G7" s="96"/>
      <c r="H7" s="96"/>
      <c r="I7" s="96"/>
      <c r="J7" s="96"/>
      <c r="K7" s="96"/>
      <c r="L7" s="96"/>
      <c r="M7" s="96"/>
      <c r="N7" s="96" t="s">
        <v>5</v>
      </c>
      <c r="O7" s="96"/>
      <c r="P7" s="96"/>
      <c r="Q7" s="96" t="s">
        <v>6</v>
      </c>
      <c r="R7" s="96"/>
      <c r="S7" s="96"/>
      <c r="T7" s="96"/>
      <c r="U7" s="96"/>
      <c r="V7" s="96"/>
      <c r="W7" s="96" t="s">
        <v>7</v>
      </c>
      <c r="X7" s="149" t="s">
        <v>8</v>
      </c>
    </row>
    <row r="8" spans="1:46" s="9" customFormat="1">
      <c r="A8" s="97" t="s">
        <v>9</v>
      </c>
      <c r="B8" s="97" t="s">
        <v>10</v>
      </c>
      <c r="C8" s="97" t="s">
        <v>11</v>
      </c>
      <c r="D8" s="97" t="s">
        <v>12</v>
      </c>
      <c r="E8" s="97" t="s">
        <v>13</v>
      </c>
      <c r="F8" s="97" t="s">
        <v>14</v>
      </c>
      <c r="G8" s="97" t="s">
        <v>15</v>
      </c>
      <c r="H8" s="97" t="s">
        <v>16</v>
      </c>
      <c r="I8" s="97"/>
      <c r="J8" s="98" t="s">
        <v>17</v>
      </c>
      <c r="K8" s="98"/>
      <c r="L8" s="97" t="s">
        <v>18</v>
      </c>
      <c r="M8" s="97" t="s">
        <v>19</v>
      </c>
      <c r="N8" s="98" t="s">
        <v>20</v>
      </c>
      <c r="O8" s="98" t="s">
        <v>21</v>
      </c>
      <c r="P8" s="98" t="s">
        <v>22</v>
      </c>
      <c r="Q8" s="98" t="s">
        <v>23</v>
      </c>
      <c r="R8" s="98"/>
      <c r="S8" s="98" t="s">
        <v>24</v>
      </c>
      <c r="T8" s="98"/>
      <c r="U8" s="97" t="s">
        <v>25</v>
      </c>
      <c r="V8" s="98" t="s">
        <v>22</v>
      </c>
      <c r="W8" s="96"/>
      <c r="X8" s="149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6" s="9" customFormat="1" ht="17.25" customHeight="1">
      <c r="A9" s="97"/>
      <c r="B9" s="97"/>
      <c r="C9" s="97"/>
      <c r="D9" s="97"/>
      <c r="E9" s="97"/>
      <c r="F9" s="97"/>
      <c r="G9" s="97"/>
      <c r="H9" s="10" t="s">
        <v>26</v>
      </c>
      <c r="I9" s="10" t="s">
        <v>27</v>
      </c>
      <c r="J9" s="10" t="s">
        <v>26</v>
      </c>
      <c r="K9" s="11" t="s">
        <v>28</v>
      </c>
      <c r="L9" s="97"/>
      <c r="M9" s="97"/>
      <c r="N9" s="98"/>
      <c r="O9" s="98"/>
      <c r="P9" s="98"/>
      <c r="Q9" s="10" t="s">
        <v>29</v>
      </c>
      <c r="R9" s="11" t="s">
        <v>30</v>
      </c>
      <c r="S9" s="10" t="s">
        <v>29</v>
      </c>
      <c r="T9" s="11" t="s">
        <v>30</v>
      </c>
      <c r="U9" s="97"/>
      <c r="V9" s="98"/>
      <c r="W9" s="96"/>
      <c r="X9" s="150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6" s="44" customFormat="1" ht="25.5">
      <c r="A10" s="94" t="s">
        <v>253</v>
      </c>
      <c r="B10" s="94" t="s">
        <v>212</v>
      </c>
      <c r="C10" s="78" t="s">
        <v>100</v>
      </c>
      <c r="D10" s="29" t="s">
        <v>101</v>
      </c>
      <c r="E10" s="20" t="s">
        <v>102</v>
      </c>
      <c r="F10" s="53" t="s">
        <v>558</v>
      </c>
      <c r="G10" s="53" t="s">
        <v>36</v>
      </c>
      <c r="H10" s="53" t="s">
        <v>37</v>
      </c>
      <c r="I10" s="53" t="s">
        <v>38</v>
      </c>
      <c r="J10" s="53" t="s">
        <v>62</v>
      </c>
      <c r="K10" s="53" t="s">
        <v>414</v>
      </c>
      <c r="L10" s="69">
        <v>43850</v>
      </c>
      <c r="M10" s="69">
        <v>43854</v>
      </c>
      <c r="N10" s="70">
        <f>2720.71/2</f>
        <v>1360.355</v>
      </c>
      <c r="O10" s="70">
        <f>2720.71/2</f>
        <v>1360.355</v>
      </c>
      <c r="P10" s="70">
        <f t="shared" ref="P10:P13" si="0">SUM(N10:O10)</f>
        <v>2720.71</v>
      </c>
      <c r="Q10" s="53">
        <v>5</v>
      </c>
      <c r="R10" s="70">
        <v>120</v>
      </c>
      <c r="S10" s="53">
        <v>5</v>
      </c>
      <c r="T10" s="70">
        <v>100</v>
      </c>
      <c r="U10" s="70">
        <f>(Q10*R10)+(S10*T10)</f>
        <v>1100</v>
      </c>
      <c r="V10" s="70">
        <f>U10+P10</f>
        <v>3820.71</v>
      </c>
      <c r="W10" s="70">
        <f>V10</f>
        <v>3820.71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</row>
    <row r="11" spans="1:46" s="44" customFormat="1" ht="25.5">
      <c r="A11" s="94" t="s">
        <v>253</v>
      </c>
      <c r="B11" s="94" t="s">
        <v>259</v>
      </c>
      <c r="C11" s="94" t="s">
        <v>383</v>
      </c>
      <c r="D11" s="29" t="s">
        <v>384</v>
      </c>
      <c r="E11" s="20" t="s">
        <v>385</v>
      </c>
      <c r="F11" s="53" t="s">
        <v>559</v>
      </c>
      <c r="G11" s="53" t="s">
        <v>36</v>
      </c>
      <c r="H11" s="53" t="s">
        <v>37</v>
      </c>
      <c r="I11" s="53" t="s">
        <v>38</v>
      </c>
      <c r="J11" s="53" t="s">
        <v>37</v>
      </c>
      <c r="K11" s="53" t="s">
        <v>391</v>
      </c>
      <c r="L11" s="69">
        <v>43844</v>
      </c>
      <c r="M11" s="69">
        <v>43846</v>
      </c>
      <c r="N11" s="70">
        <f>1070.83/2</f>
        <v>535.41499999999996</v>
      </c>
      <c r="O11" s="70">
        <f>1070.83/2</f>
        <v>535.41499999999996</v>
      </c>
      <c r="P11" s="70">
        <f t="shared" si="0"/>
        <v>1070.83</v>
      </c>
      <c r="Q11" s="53">
        <v>3</v>
      </c>
      <c r="R11" s="70">
        <v>120</v>
      </c>
      <c r="S11" s="53">
        <v>0</v>
      </c>
      <c r="T11" s="70">
        <v>0</v>
      </c>
      <c r="U11" s="70">
        <f t="shared" ref="U11:U13" si="1">(Q11*R11)+(S11*T11)</f>
        <v>360</v>
      </c>
      <c r="V11" s="70">
        <f t="shared" ref="V11:V13" si="2">U11+P11</f>
        <v>1430.83</v>
      </c>
      <c r="W11" s="70">
        <f t="shared" ref="W11:W13" si="3">V11</f>
        <v>1430.83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</row>
    <row r="12" spans="1:46" s="44" customFormat="1" ht="25.5">
      <c r="A12" s="94" t="s">
        <v>253</v>
      </c>
      <c r="B12" s="94" t="s">
        <v>253</v>
      </c>
      <c r="C12" s="76" t="s">
        <v>320</v>
      </c>
      <c r="D12" s="56" t="s">
        <v>321</v>
      </c>
      <c r="E12" s="20" t="s">
        <v>343</v>
      </c>
      <c r="F12" s="53" t="s">
        <v>559</v>
      </c>
      <c r="G12" s="53" t="s">
        <v>36</v>
      </c>
      <c r="H12" s="53" t="s">
        <v>37</v>
      </c>
      <c r="I12" s="53" t="s">
        <v>38</v>
      </c>
      <c r="J12" s="53" t="s">
        <v>37</v>
      </c>
      <c r="K12" s="53" t="s">
        <v>391</v>
      </c>
      <c r="L12" s="69">
        <v>43844</v>
      </c>
      <c r="M12" s="69">
        <v>43846</v>
      </c>
      <c r="N12" s="70">
        <f>1070.83/2</f>
        <v>535.41499999999996</v>
      </c>
      <c r="O12" s="70">
        <f>1070.83/2</f>
        <v>535.41499999999996</v>
      </c>
      <c r="P12" s="70">
        <f t="shared" si="0"/>
        <v>1070.83</v>
      </c>
      <c r="Q12" s="53">
        <v>3</v>
      </c>
      <c r="R12" s="70">
        <v>120</v>
      </c>
      <c r="S12" s="53">
        <v>0</v>
      </c>
      <c r="T12" s="70">
        <v>0</v>
      </c>
      <c r="U12" s="70">
        <f t="shared" si="1"/>
        <v>360</v>
      </c>
      <c r="V12" s="70">
        <f t="shared" si="2"/>
        <v>1430.83</v>
      </c>
      <c r="W12" s="70">
        <f t="shared" si="3"/>
        <v>1430.83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</row>
    <row r="13" spans="1:46" s="44" customFormat="1" ht="25.5">
      <c r="A13" s="94" t="s">
        <v>253</v>
      </c>
      <c r="B13" s="94" t="s">
        <v>253</v>
      </c>
      <c r="C13" s="163" t="s">
        <v>486</v>
      </c>
      <c r="D13" s="56" t="s">
        <v>107</v>
      </c>
      <c r="E13" s="66" t="s">
        <v>50</v>
      </c>
      <c r="F13" s="53" t="s">
        <v>560</v>
      </c>
      <c r="G13" s="53" t="s">
        <v>36</v>
      </c>
      <c r="H13" s="53" t="s">
        <v>37</v>
      </c>
      <c r="I13" s="53" t="s">
        <v>38</v>
      </c>
      <c r="J13" s="53" t="s">
        <v>39</v>
      </c>
      <c r="K13" s="53" t="s">
        <v>40</v>
      </c>
      <c r="L13" s="69">
        <v>43859</v>
      </c>
      <c r="M13" s="69">
        <v>43859</v>
      </c>
      <c r="N13" s="70">
        <f>2118.56/2</f>
        <v>1059.28</v>
      </c>
      <c r="O13" s="70">
        <f>2118.56/2</f>
        <v>1059.28</v>
      </c>
      <c r="P13" s="70">
        <f t="shared" si="0"/>
        <v>2118.56</v>
      </c>
      <c r="Q13" s="53">
        <v>0</v>
      </c>
      <c r="R13" s="70">
        <v>0</v>
      </c>
      <c r="S13" s="53">
        <v>0</v>
      </c>
      <c r="T13" s="70">
        <v>0</v>
      </c>
      <c r="U13" s="70">
        <f t="shared" si="1"/>
        <v>0</v>
      </c>
      <c r="V13" s="70">
        <f t="shared" si="2"/>
        <v>2118.56</v>
      </c>
      <c r="W13" s="70">
        <f t="shared" si="3"/>
        <v>2118.56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X24"/>
  <sheetViews>
    <sheetView workbookViewId="0">
      <selection activeCell="C23" sqref="C23:D24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6" t="s">
        <v>1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</row>
    <row r="2" spans="1:24" ht="15">
      <c r="A2" s="96" t="s">
        <v>2</v>
      </c>
      <c r="B2" s="96"/>
      <c r="C2" s="96" t="s">
        <v>3</v>
      </c>
      <c r="D2" s="96"/>
      <c r="E2" s="96"/>
      <c r="F2" s="96" t="s">
        <v>4</v>
      </c>
      <c r="G2" s="96"/>
      <c r="H2" s="96"/>
      <c r="I2" s="96"/>
      <c r="J2" s="96"/>
      <c r="K2" s="96"/>
      <c r="L2" s="96"/>
      <c r="M2" s="96"/>
      <c r="N2" s="96" t="s">
        <v>5</v>
      </c>
      <c r="O2" s="96"/>
      <c r="P2" s="96"/>
      <c r="Q2" s="96" t="s">
        <v>6</v>
      </c>
      <c r="R2" s="96"/>
      <c r="S2" s="96"/>
      <c r="T2" s="96"/>
      <c r="U2" s="96"/>
      <c r="V2" s="96"/>
      <c r="W2" s="96" t="s">
        <v>7</v>
      </c>
      <c r="X2" s="149" t="s">
        <v>8</v>
      </c>
    </row>
    <row r="3" spans="1:24" ht="15">
      <c r="A3" s="97" t="s">
        <v>9</v>
      </c>
      <c r="B3" s="97" t="s">
        <v>10</v>
      </c>
      <c r="C3" s="97" t="s">
        <v>11</v>
      </c>
      <c r="D3" s="97" t="s">
        <v>12</v>
      </c>
      <c r="E3" s="97" t="s">
        <v>13</v>
      </c>
      <c r="F3" s="97" t="s">
        <v>14</v>
      </c>
      <c r="G3" s="97" t="s">
        <v>15</v>
      </c>
      <c r="H3" s="97" t="s">
        <v>16</v>
      </c>
      <c r="I3" s="97"/>
      <c r="J3" s="98" t="s">
        <v>17</v>
      </c>
      <c r="K3" s="98"/>
      <c r="L3" s="97" t="s">
        <v>18</v>
      </c>
      <c r="M3" s="97" t="s">
        <v>19</v>
      </c>
      <c r="N3" s="98" t="s">
        <v>20</v>
      </c>
      <c r="O3" s="98" t="s">
        <v>21</v>
      </c>
      <c r="P3" s="98" t="s">
        <v>22</v>
      </c>
      <c r="Q3" s="98" t="s">
        <v>23</v>
      </c>
      <c r="R3" s="98"/>
      <c r="S3" s="98" t="s">
        <v>24</v>
      </c>
      <c r="T3" s="98"/>
      <c r="U3" s="97" t="s">
        <v>25</v>
      </c>
      <c r="V3" s="98" t="s">
        <v>22</v>
      </c>
      <c r="W3" s="96"/>
      <c r="X3" s="149"/>
    </row>
    <row r="4" spans="1:24" ht="15">
      <c r="A4" s="97"/>
      <c r="B4" s="97"/>
      <c r="C4" s="97"/>
      <c r="D4" s="97"/>
      <c r="E4" s="97"/>
      <c r="F4" s="97"/>
      <c r="G4" s="97"/>
      <c r="H4" s="10" t="s">
        <v>26</v>
      </c>
      <c r="I4" s="10" t="s">
        <v>27</v>
      </c>
      <c r="J4" s="10" t="s">
        <v>26</v>
      </c>
      <c r="K4" s="11" t="s">
        <v>28</v>
      </c>
      <c r="L4" s="97"/>
      <c r="M4" s="97"/>
      <c r="N4" s="98"/>
      <c r="O4" s="98"/>
      <c r="P4" s="98"/>
      <c r="Q4" s="10" t="s">
        <v>29</v>
      </c>
      <c r="R4" s="11" t="s">
        <v>30</v>
      </c>
      <c r="S4" s="10" t="s">
        <v>29</v>
      </c>
      <c r="T4" s="11" t="s">
        <v>30</v>
      </c>
      <c r="U4" s="97"/>
      <c r="V4" s="98"/>
      <c r="W4" s="96"/>
      <c r="X4" s="150"/>
    </row>
    <row r="5" spans="1:24" ht="15">
      <c r="A5" s="94" t="s">
        <v>228</v>
      </c>
      <c r="B5" s="94" t="s">
        <v>228</v>
      </c>
      <c r="C5" s="94" t="s">
        <v>561</v>
      </c>
      <c r="D5" s="29"/>
      <c r="E5" s="20" t="s">
        <v>562</v>
      </c>
      <c r="F5" s="53" t="s">
        <v>563</v>
      </c>
      <c r="G5" s="53" t="s">
        <v>36</v>
      </c>
      <c r="H5" s="53" t="s">
        <v>37</v>
      </c>
      <c r="I5" s="53" t="s">
        <v>38</v>
      </c>
      <c r="J5" s="53" t="s">
        <v>210</v>
      </c>
      <c r="K5" s="53" t="s">
        <v>211</v>
      </c>
      <c r="L5" s="69">
        <v>43872</v>
      </c>
      <c r="M5" s="69">
        <v>43875</v>
      </c>
      <c r="N5" s="70">
        <f t="shared" ref="N5:N12" si="0">P5/2</f>
        <v>597.14</v>
      </c>
      <c r="O5" s="70">
        <f>N5</f>
        <v>597.14</v>
      </c>
      <c r="P5" s="70">
        <v>1194.28</v>
      </c>
      <c r="Q5" s="53">
        <v>0</v>
      </c>
      <c r="R5" s="70">
        <v>0</v>
      </c>
      <c r="S5" s="53">
        <v>0</v>
      </c>
      <c r="T5" s="70">
        <v>0</v>
      </c>
      <c r="U5" s="70">
        <f>(Q5*R5)+(S5*T5)</f>
        <v>0</v>
      </c>
      <c r="V5" s="70">
        <f>U5+P5</f>
        <v>1194.28</v>
      </c>
      <c r="W5" s="70">
        <f>V5</f>
        <v>1194.28</v>
      </c>
      <c r="X5" s="53"/>
    </row>
    <row r="6" spans="1:24" ht="15">
      <c r="A6" s="94" t="s">
        <v>228</v>
      </c>
      <c r="B6" s="94" t="s">
        <v>450</v>
      </c>
      <c r="C6" s="94" t="s">
        <v>564</v>
      </c>
      <c r="D6" s="29"/>
      <c r="E6" s="20" t="s">
        <v>565</v>
      </c>
      <c r="F6" s="53" t="s">
        <v>563</v>
      </c>
      <c r="G6" s="53" t="s">
        <v>36</v>
      </c>
      <c r="H6" s="53" t="s">
        <v>37</v>
      </c>
      <c r="I6" s="53" t="s">
        <v>38</v>
      </c>
      <c r="J6" s="53" t="s">
        <v>210</v>
      </c>
      <c r="K6" s="53" t="s">
        <v>211</v>
      </c>
      <c r="L6" s="69">
        <v>43872</v>
      </c>
      <c r="M6" s="69">
        <v>43875</v>
      </c>
      <c r="N6" s="70">
        <f t="shared" si="0"/>
        <v>597.14</v>
      </c>
      <c r="O6" s="70">
        <f t="shared" ref="O6:O12" si="1">P6/2</f>
        <v>597.14</v>
      </c>
      <c r="P6" s="70">
        <v>1194.28</v>
      </c>
      <c r="Q6" s="53">
        <v>0</v>
      </c>
      <c r="R6" s="70">
        <v>0</v>
      </c>
      <c r="S6" s="53">
        <v>0</v>
      </c>
      <c r="T6" s="70">
        <v>0</v>
      </c>
      <c r="U6" s="70">
        <f t="shared" ref="U6:U12" si="2">(Q6*R6)+(S6*T6)</f>
        <v>0</v>
      </c>
      <c r="V6" s="70">
        <f t="shared" ref="V6:V12" si="3">U6+P6</f>
        <v>1194.28</v>
      </c>
      <c r="W6" s="70">
        <f t="shared" ref="W6:W12" si="4">V6</f>
        <v>1194.28</v>
      </c>
      <c r="X6" s="53"/>
    </row>
    <row r="7" spans="1:24" ht="25.5">
      <c r="A7" s="94" t="s">
        <v>228</v>
      </c>
      <c r="B7" s="94" t="s">
        <v>566</v>
      </c>
      <c r="C7" s="94" t="s">
        <v>54</v>
      </c>
      <c r="D7" s="29" t="s">
        <v>88</v>
      </c>
      <c r="E7" s="20" t="s">
        <v>55</v>
      </c>
      <c r="F7" s="53" t="s">
        <v>563</v>
      </c>
      <c r="G7" s="53" t="s">
        <v>36</v>
      </c>
      <c r="H7" s="53" t="s">
        <v>37</v>
      </c>
      <c r="I7" s="53" t="s">
        <v>38</v>
      </c>
      <c r="J7" s="53" t="s">
        <v>210</v>
      </c>
      <c r="K7" s="53" t="s">
        <v>211</v>
      </c>
      <c r="L7" s="69">
        <v>43872</v>
      </c>
      <c r="M7" s="69">
        <v>43875</v>
      </c>
      <c r="N7" s="70">
        <f t="shared" si="0"/>
        <v>640.01</v>
      </c>
      <c r="O7" s="70">
        <f t="shared" si="1"/>
        <v>640.01</v>
      </c>
      <c r="P7" s="70">
        <v>1280.02</v>
      </c>
      <c r="Q7" s="53">
        <v>4</v>
      </c>
      <c r="R7" s="70">
        <v>120</v>
      </c>
      <c r="S7" s="53">
        <v>2</v>
      </c>
      <c r="T7" s="70">
        <v>120</v>
      </c>
      <c r="U7" s="70">
        <f t="shared" si="2"/>
        <v>720</v>
      </c>
      <c r="V7" s="70">
        <f t="shared" si="3"/>
        <v>2000.02</v>
      </c>
      <c r="W7" s="70">
        <f t="shared" si="4"/>
        <v>2000.02</v>
      </c>
      <c r="X7" s="53" t="s">
        <v>77</v>
      </c>
    </row>
    <row r="8" spans="1:24" ht="25.5">
      <c r="A8" s="94" t="s">
        <v>228</v>
      </c>
      <c r="B8" s="94" t="s">
        <v>566</v>
      </c>
      <c r="C8" s="94" t="s">
        <v>54</v>
      </c>
      <c r="D8" s="29" t="s">
        <v>88</v>
      </c>
      <c r="E8" s="20" t="s">
        <v>55</v>
      </c>
      <c r="F8" s="53" t="s">
        <v>567</v>
      </c>
      <c r="G8" s="53" t="s">
        <v>36</v>
      </c>
      <c r="H8" s="53" t="s">
        <v>37</v>
      </c>
      <c r="I8" s="53" t="s">
        <v>38</v>
      </c>
      <c r="J8" s="53" t="s">
        <v>62</v>
      </c>
      <c r="K8" s="53" t="s">
        <v>63</v>
      </c>
      <c r="L8" s="69">
        <v>43863</v>
      </c>
      <c r="M8" s="69">
        <v>43865</v>
      </c>
      <c r="N8" s="70">
        <f t="shared" si="0"/>
        <v>1031.115</v>
      </c>
      <c r="O8" s="70">
        <f t="shared" si="1"/>
        <v>1031.115</v>
      </c>
      <c r="P8" s="70">
        <v>2062.23</v>
      </c>
      <c r="Q8" s="53">
        <v>2</v>
      </c>
      <c r="R8" s="70">
        <v>120</v>
      </c>
      <c r="S8" s="53">
        <v>2</v>
      </c>
      <c r="T8" s="70">
        <v>120</v>
      </c>
      <c r="U8" s="70">
        <f t="shared" si="2"/>
        <v>480</v>
      </c>
      <c r="V8" s="70">
        <f t="shared" si="3"/>
        <v>2542.23</v>
      </c>
      <c r="W8" s="70">
        <f t="shared" si="4"/>
        <v>2542.23</v>
      </c>
      <c r="X8" s="53" t="s">
        <v>77</v>
      </c>
    </row>
    <row r="9" spans="1:24" ht="38.25">
      <c r="A9" s="164" t="s">
        <v>233</v>
      </c>
      <c r="B9" s="164" t="s">
        <v>233</v>
      </c>
      <c r="C9" s="164" t="s">
        <v>568</v>
      </c>
      <c r="D9" s="80"/>
      <c r="E9" s="81" t="s">
        <v>50</v>
      </c>
      <c r="F9" s="53" t="s">
        <v>563</v>
      </c>
      <c r="G9" s="79" t="s">
        <v>36</v>
      </c>
      <c r="H9" s="79" t="s">
        <v>37</v>
      </c>
      <c r="I9" s="79" t="s">
        <v>38</v>
      </c>
      <c r="J9" s="79" t="s">
        <v>210</v>
      </c>
      <c r="K9" s="79" t="s">
        <v>211</v>
      </c>
      <c r="L9" s="82">
        <v>43872</v>
      </c>
      <c r="M9" s="82">
        <v>43875</v>
      </c>
      <c r="N9" s="165">
        <f t="shared" si="0"/>
        <v>778.26</v>
      </c>
      <c r="O9" s="165">
        <f t="shared" si="1"/>
        <v>778.26</v>
      </c>
      <c r="P9" s="165">
        <v>1556.52</v>
      </c>
      <c r="Q9" s="164">
        <v>0</v>
      </c>
      <c r="R9" s="70">
        <v>0</v>
      </c>
      <c r="S9" s="53">
        <v>0</v>
      </c>
      <c r="T9" s="70">
        <v>0</v>
      </c>
      <c r="U9" s="70">
        <f t="shared" si="2"/>
        <v>0</v>
      </c>
      <c r="V9" s="70">
        <f t="shared" si="3"/>
        <v>1556.52</v>
      </c>
      <c r="W9" s="70">
        <f t="shared" si="4"/>
        <v>1556.52</v>
      </c>
      <c r="X9" s="164"/>
    </row>
    <row r="10" spans="1:24" ht="38.25">
      <c r="A10" s="164" t="s">
        <v>233</v>
      </c>
      <c r="B10" s="164" t="s">
        <v>233</v>
      </c>
      <c r="C10" s="164" t="s">
        <v>568</v>
      </c>
      <c r="D10" s="80"/>
      <c r="E10" s="81" t="s">
        <v>50</v>
      </c>
      <c r="F10" s="77" t="s">
        <v>569</v>
      </c>
      <c r="G10" s="79" t="s">
        <v>36</v>
      </c>
      <c r="H10" s="79" t="s">
        <v>37</v>
      </c>
      <c r="I10" s="79" t="s">
        <v>38</v>
      </c>
      <c r="J10" s="79" t="s">
        <v>39</v>
      </c>
      <c r="K10" s="79" t="s">
        <v>570</v>
      </c>
      <c r="L10" s="82">
        <v>43878</v>
      </c>
      <c r="M10" s="82">
        <v>43879</v>
      </c>
      <c r="N10" s="165">
        <f t="shared" si="0"/>
        <v>912.6</v>
      </c>
      <c r="O10" s="165">
        <f t="shared" si="1"/>
        <v>912.6</v>
      </c>
      <c r="P10" s="165">
        <v>1825.2</v>
      </c>
      <c r="Q10" s="77">
        <v>0</v>
      </c>
      <c r="R10" s="70">
        <v>0</v>
      </c>
      <c r="S10" s="53">
        <v>0</v>
      </c>
      <c r="T10" s="70">
        <v>0</v>
      </c>
      <c r="U10" s="70">
        <f t="shared" si="2"/>
        <v>0</v>
      </c>
      <c r="V10" s="70">
        <f t="shared" si="3"/>
        <v>1825.2</v>
      </c>
      <c r="W10" s="70">
        <f t="shared" si="4"/>
        <v>1825.2</v>
      </c>
      <c r="X10" s="77"/>
    </row>
    <row r="11" spans="1:24" ht="25.5">
      <c r="A11" s="164" t="s">
        <v>233</v>
      </c>
      <c r="B11" s="164" t="s">
        <v>233</v>
      </c>
      <c r="C11" s="164" t="s">
        <v>571</v>
      </c>
      <c r="D11" s="56" t="s">
        <v>321</v>
      </c>
      <c r="E11" s="20" t="s">
        <v>343</v>
      </c>
      <c r="F11" s="77" t="s">
        <v>569</v>
      </c>
      <c r="G11" s="79" t="s">
        <v>36</v>
      </c>
      <c r="H11" s="79" t="s">
        <v>37</v>
      </c>
      <c r="I11" s="79" t="s">
        <v>38</v>
      </c>
      <c r="J11" s="79" t="s">
        <v>39</v>
      </c>
      <c r="K11" s="79" t="s">
        <v>570</v>
      </c>
      <c r="L11" s="82">
        <v>43878</v>
      </c>
      <c r="M11" s="82">
        <v>43879</v>
      </c>
      <c r="N11" s="165">
        <f t="shared" si="0"/>
        <v>860.1</v>
      </c>
      <c r="O11" s="165">
        <f t="shared" si="1"/>
        <v>860.1</v>
      </c>
      <c r="P11" s="165">
        <v>1720.2</v>
      </c>
      <c r="Q11" s="53">
        <v>2</v>
      </c>
      <c r="R11" s="70">
        <v>120</v>
      </c>
      <c r="S11" s="53">
        <v>0</v>
      </c>
      <c r="T11" s="70">
        <v>0</v>
      </c>
      <c r="U11" s="70">
        <f t="shared" si="2"/>
        <v>240</v>
      </c>
      <c r="V11" s="70">
        <f t="shared" si="3"/>
        <v>1960.2</v>
      </c>
      <c r="W11" s="70">
        <f t="shared" si="4"/>
        <v>1960.2</v>
      </c>
      <c r="X11" s="53" t="s">
        <v>77</v>
      </c>
    </row>
    <row r="12" spans="1:24" ht="25.5">
      <c r="A12" s="94" t="s">
        <v>371</v>
      </c>
      <c r="B12" s="94" t="s">
        <v>371</v>
      </c>
      <c r="C12" s="94" t="s">
        <v>137</v>
      </c>
      <c r="D12" s="29" t="s">
        <v>141</v>
      </c>
      <c r="E12" s="20" t="s">
        <v>343</v>
      </c>
      <c r="F12" s="77" t="s">
        <v>569</v>
      </c>
      <c r="G12" s="53" t="s">
        <v>36</v>
      </c>
      <c r="H12" s="53" t="s">
        <v>37</v>
      </c>
      <c r="I12" s="53" t="s">
        <v>38</v>
      </c>
      <c r="J12" s="53" t="s">
        <v>39</v>
      </c>
      <c r="K12" s="53" t="s">
        <v>570</v>
      </c>
      <c r="L12" s="69">
        <v>43878</v>
      </c>
      <c r="M12" s="69">
        <v>43879</v>
      </c>
      <c r="N12" s="166">
        <f t="shared" si="0"/>
        <v>690.43499999999995</v>
      </c>
      <c r="O12" s="166">
        <f t="shared" si="1"/>
        <v>690.43499999999995</v>
      </c>
      <c r="P12" s="166">
        <v>1380.87</v>
      </c>
      <c r="Q12" s="53">
        <v>2</v>
      </c>
      <c r="R12" s="70">
        <v>120</v>
      </c>
      <c r="S12" s="53">
        <v>0</v>
      </c>
      <c r="T12" s="70">
        <v>0</v>
      </c>
      <c r="U12" s="70">
        <f t="shared" si="2"/>
        <v>240</v>
      </c>
      <c r="V12" s="70">
        <f t="shared" si="3"/>
        <v>1620.87</v>
      </c>
      <c r="W12" s="70">
        <f t="shared" si="4"/>
        <v>1620.87</v>
      </c>
      <c r="X12" s="53" t="s">
        <v>77</v>
      </c>
    </row>
    <row r="18" spans="3:17">
      <c r="Q18" s="83"/>
    </row>
    <row r="19" spans="3:17">
      <c r="Q19" s="83"/>
    </row>
    <row r="20" spans="3:17">
      <c r="Q20" s="83"/>
    </row>
    <row r="21" spans="3:17">
      <c r="Q21" s="83"/>
    </row>
    <row r="23" spans="3:17" ht="25.5">
      <c r="C23" s="29"/>
      <c r="D23" s="20" t="s">
        <v>562</v>
      </c>
    </row>
    <row r="24" spans="3:17" ht="51">
      <c r="C24" s="80"/>
      <c r="D24" s="81" t="s">
        <v>50</v>
      </c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26"/>
  <sheetViews>
    <sheetView topLeftCell="A7" workbookViewId="0">
      <selection activeCell="E26" sqref="E26"/>
    </sheetView>
  </sheetViews>
  <sheetFormatPr defaultRowHeight="15" customHeight="1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62" t="s">
        <v>0</v>
      </c>
      <c r="W5" s="162"/>
      <c r="X5" s="8">
        <v>42979</v>
      </c>
    </row>
    <row r="6" spans="1:24">
      <c r="A6" s="96" t="s">
        <v>1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</row>
    <row r="7" spans="1:24">
      <c r="A7" s="96" t="s">
        <v>2</v>
      </c>
      <c r="B7" s="96"/>
      <c r="C7" s="96" t="s">
        <v>3</v>
      </c>
      <c r="D7" s="96"/>
      <c r="E7" s="96"/>
      <c r="F7" s="96" t="s">
        <v>4</v>
      </c>
      <c r="G7" s="96"/>
      <c r="H7" s="96"/>
      <c r="I7" s="96"/>
      <c r="J7" s="96"/>
      <c r="K7" s="96"/>
      <c r="L7" s="96"/>
      <c r="M7" s="96"/>
      <c r="N7" s="96" t="s">
        <v>5</v>
      </c>
      <c r="O7" s="96"/>
      <c r="P7" s="96"/>
      <c r="Q7" s="96" t="s">
        <v>6</v>
      </c>
      <c r="R7" s="96"/>
      <c r="S7" s="96"/>
      <c r="T7" s="96"/>
      <c r="U7" s="96"/>
      <c r="V7" s="96"/>
      <c r="W7" s="96" t="s">
        <v>7</v>
      </c>
      <c r="X7" s="96" t="s">
        <v>8</v>
      </c>
    </row>
    <row r="8" spans="1:24" s="9" customFormat="1">
      <c r="A8" s="97" t="s">
        <v>9</v>
      </c>
      <c r="B8" s="97" t="s">
        <v>10</v>
      </c>
      <c r="C8" s="97" t="s">
        <v>11</v>
      </c>
      <c r="D8" s="97" t="s">
        <v>12</v>
      </c>
      <c r="E8" s="97" t="s">
        <v>13</v>
      </c>
      <c r="F8" s="97" t="s">
        <v>14</v>
      </c>
      <c r="G8" s="97" t="s">
        <v>15</v>
      </c>
      <c r="H8" s="97" t="s">
        <v>16</v>
      </c>
      <c r="I8" s="97"/>
      <c r="J8" s="98" t="s">
        <v>17</v>
      </c>
      <c r="K8" s="98"/>
      <c r="L8" s="97" t="s">
        <v>18</v>
      </c>
      <c r="M8" s="97" t="s">
        <v>19</v>
      </c>
      <c r="N8" s="98" t="s">
        <v>20</v>
      </c>
      <c r="O8" s="98" t="s">
        <v>21</v>
      </c>
      <c r="P8" s="98" t="s">
        <v>22</v>
      </c>
      <c r="Q8" s="98" t="s">
        <v>23</v>
      </c>
      <c r="R8" s="98"/>
      <c r="S8" s="98" t="s">
        <v>24</v>
      </c>
      <c r="T8" s="98"/>
      <c r="U8" s="97" t="s">
        <v>25</v>
      </c>
      <c r="V8" s="98" t="s">
        <v>22</v>
      </c>
      <c r="W8" s="96"/>
      <c r="X8" s="96"/>
    </row>
    <row r="9" spans="1:24" s="9" customFormat="1">
      <c r="A9" s="97"/>
      <c r="B9" s="97"/>
      <c r="C9" s="97"/>
      <c r="D9" s="97"/>
      <c r="E9" s="97"/>
      <c r="F9" s="97"/>
      <c r="G9" s="97"/>
      <c r="H9" s="10" t="s">
        <v>26</v>
      </c>
      <c r="I9" s="10" t="s">
        <v>27</v>
      </c>
      <c r="J9" s="10" t="s">
        <v>26</v>
      </c>
      <c r="K9" s="11" t="s">
        <v>28</v>
      </c>
      <c r="L9" s="97"/>
      <c r="M9" s="97"/>
      <c r="N9" s="98"/>
      <c r="O9" s="98"/>
      <c r="P9" s="98"/>
      <c r="Q9" s="10" t="s">
        <v>29</v>
      </c>
      <c r="R9" s="11" t="s">
        <v>30</v>
      </c>
      <c r="S9" s="10" t="s">
        <v>29</v>
      </c>
      <c r="T9" s="11" t="s">
        <v>30</v>
      </c>
      <c r="U9" s="97"/>
      <c r="V9" s="98"/>
      <c r="W9" s="96"/>
      <c r="X9" s="96"/>
    </row>
    <row r="10" spans="1:24" ht="51">
      <c r="A10" s="27" t="s">
        <v>31</v>
      </c>
      <c r="B10" s="27" t="s">
        <v>91</v>
      </c>
      <c r="C10" s="27" t="s">
        <v>92</v>
      </c>
      <c r="D10" s="29" t="s">
        <v>93</v>
      </c>
      <c r="E10" s="34" t="s">
        <v>94</v>
      </c>
      <c r="F10" s="34" t="s">
        <v>95</v>
      </c>
      <c r="G10" s="30" t="s">
        <v>36</v>
      </c>
      <c r="H10" s="27" t="s">
        <v>37</v>
      </c>
      <c r="I10" s="27" t="s">
        <v>38</v>
      </c>
      <c r="J10" s="27" t="s">
        <v>39</v>
      </c>
      <c r="K10" s="31" t="s">
        <v>40</v>
      </c>
      <c r="L10" s="35">
        <v>42996</v>
      </c>
      <c r="M10" s="35">
        <v>42999</v>
      </c>
      <c r="N10" s="31">
        <f>1065.76/2</f>
        <v>532.88</v>
      </c>
      <c r="O10" s="31">
        <f>1065.76/2</f>
        <v>532.88</v>
      </c>
      <c r="P10" s="31">
        <f t="shared" ref="P10:P26" si="0">N10+O10</f>
        <v>1065.76</v>
      </c>
      <c r="Q10" s="27">
        <v>6</v>
      </c>
      <c r="R10" s="31">
        <v>120</v>
      </c>
      <c r="S10" s="27"/>
      <c r="T10" s="31"/>
      <c r="U10" s="32">
        <f t="shared" ref="U10:U26" si="1">(Q10*R10)+(S10*T10)</f>
        <v>720</v>
      </c>
      <c r="V10" s="31">
        <f t="shared" ref="V10:V26" si="2">P10+U10</f>
        <v>1785.76</v>
      </c>
      <c r="W10" s="31">
        <f t="shared" ref="W10:W26" si="3">V10</f>
        <v>1785.76</v>
      </c>
      <c r="X10" s="28"/>
    </row>
    <row r="11" spans="1:24" ht="38.25">
      <c r="A11" s="27" t="s">
        <v>31</v>
      </c>
      <c r="B11" s="27" t="s">
        <v>81</v>
      </c>
      <c r="C11" s="34" t="s">
        <v>96</v>
      </c>
      <c r="D11" s="29" t="s">
        <v>97</v>
      </c>
      <c r="E11" s="34" t="s">
        <v>98</v>
      </c>
      <c r="F11" s="34" t="s">
        <v>99</v>
      </c>
      <c r="G11" s="30" t="s">
        <v>36</v>
      </c>
      <c r="H11" s="27" t="s">
        <v>37</v>
      </c>
      <c r="I11" s="27" t="s">
        <v>38</v>
      </c>
      <c r="J11" s="27" t="s">
        <v>39</v>
      </c>
      <c r="K11" s="31" t="s">
        <v>40</v>
      </c>
      <c r="L11" s="35">
        <v>42996</v>
      </c>
      <c r="M11" s="35">
        <v>42999</v>
      </c>
      <c r="N11" s="31">
        <f>1065.76/2</f>
        <v>532.88</v>
      </c>
      <c r="O11" s="31">
        <f>1065.76/2</f>
        <v>532.88</v>
      </c>
      <c r="P11" s="31">
        <f t="shared" si="0"/>
        <v>1065.76</v>
      </c>
      <c r="Q11" s="27">
        <v>4</v>
      </c>
      <c r="R11" s="31">
        <v>120</v>
      </c>
      <c r="S11" s="27">
        <v>1</v>
      </c>
      <c r="T11" s="31">
        <v>200</v>
      </c>
      <c r="U11" s="32">
        <f t="shared" si="1"/>
        <v>680</v>
      </c>
      <c r="V11" s="31">
        <f t="shared" si="2"/>
        <v>1745.76</v>
      </c>
      <c r="W11" s="31">
        <f t="shared" si="3"/>
        <v>1745.76</v>
      </c>
      <c r="X11" s="28"/>
    </row>
    <row r="12" spans="1:24" ht="38.25">
      <c r="A12" s="27" t="s">
        <v>31</v>
      </c>
      <c r="B12" s="27" t="s">
        <v>32</v>
      </c>
      <c r="C12" s="27" t="s">
        <v>100</v>
      </c>
      <c r="D12" s="29" t="s">
        <v>101</v>
      </c>
      <c r="E12" s="34" t="s">
        <v>102</v>
      </c>
      <c r="F12" s="34" t="s">
        <v>103</v>
      </c>
      <c r="G12" s="30" t="s">
        <v>36</v>
      </c>
      <c r="H12" s="27" t="s">
        <v>37</v>
      </c>
      <c r="I12" s="27" t="s">
        <v>38</v>
      </c>
      <c r="J12" s="27" t="s">
        <v>104</v>
      </c>
      <c r="K12" s="31" t="s">
        <v>105</v>
      </c>
      <c r="L12" s="35">
        <v>42996</v>
      </c>
      <c r="M12" s="35">
        <v>42999</v>
      </c>
      <c r="N12" s="31">
        <f>930.64/2</f>
        <v>465.32</v>
      </c>
      <c r="O12" s="31">
        <f>930.64/2</f>
        <v>465.32</v>
      </c>
      <c r="P12" s="31">
        <f t="shared" si="0"/>
        <v>930.64</v>
      </c>
      <c r="Q12" s="27">
        <v>4</v>
      </c>
      <c r="R12" s="31">
        <v>120</v>
      </c>
      <c r="S12" s="36"/>
      <c r="T12" s="31"/>
      <c r="U12" s="32">
        <f t="shared" si="1"/>
        <v>480</v>
      </c>
      <c r="V12" s="31">
        <f t="shared" si="2"/>
        <v>1410.6399999999999</v>
      </c>
      <c r="W12" s="31">
        <f t="shared" si="3"/>
        <v>1410.6399999999999</v>
      </c>
      <c r="X12" s="33"/>
    </row>
    <row r="13" spans="1:24" ht="25.5">
      <c r="A13" s="27" t="s">
        <v>106</v>
      </c>
      <c r="B13" s="27" t="s">
        <v>52</v>
      </c>
      <c r="C13" s="27" t="s">
        <v>86</v>
      </c>
      <c r="D13" s="29" t="s">
        <v>107</v>
      </c>
      <c r="E13" s="20" t="s">
        <v>87</v>
      </c>
      <c r="F13" s="34" t="s">
        <v>108</v>
      </c>
      <c r="G13" s="30" t="s">
        <v>36</v>
      </c>
      <c r="H13" s="27" t="s">
        <v>37</v>
      </c>
      <c r="I13" s="27" t="s">
        <v>38</v>
      </c>
      <c r="J13" s="27" t="s">
        <v>109</v>
      </c>
      <c r="K13" s="31" t="s">
        <v>110</v>
      </c>
      <c r="L13" s="35">
        <v>42991</v>
      </c>
      <c r="M13" s="35">
        <v>42992</v>
      </c>
      <c r="N13" s="31">
        <f>1597.07/2</f>
        <v>798.53499999999997</v>
      </c>
      <c r="O13" s="31">
        <f>1597.07/2</f>
        <v>798.53499999999997</v>
      </c>
      <c r="P13" s="31">
        <f t="shared" si="0"/>
        <v>1597.07</v>
      </c>
      <c r="Q13" s="27">
        <v>0</v>
      </c>
      <c r="R13" s="31"/>
      <c r="S13" s="36">
        <v>0</v>
      </c>
      <c r="T13" s="31"/>
      <c r="U13" s="32">
        <f t="shared" si="1"/>
        <v>0</v>
      </c>
      <c r="V13" s="31">
        <f t="shared" si="2"/>
        <v>1597.07</v>
      </c>
      <c r="W13" s="31">
        <f t="shared" si="3"/>
        <v>1597.07</v>
      </c>
      <c r="X13" s="33"/>
    </row>
    <row r="14" spans="1:24" ht="25.5">
      <c r="A14" s="27" t="s">
        <v>106</v>
      </c>
      <c r="B14" s="27" t="s">
        <v>53</v>
      </c>
      <c r="C14" s="27" t="s">
        <v>54</v>
      </c>
      <c r="D14" s="29" t="s">
        <v>88</v>
      </c>
      <c r="E14" s="20" t="s">
        <v>55</v>
      </c>
      <c r="F14" s="34" t="s">
        <v>108</v>
      </c>
      <c r="G14" s="30" t="s">
        <v>36</v>
      </c>
      <c r="H14" s="27" t="s">
        <v>37</v>
      </c>
      <c r="I14" s="27" t="s">
        <v>38</v>
      </c>
      <c r="J14" s="27" t="s">
        <v>109</v>
      </c>
      <c r="K14" s="31" t="s">
        <v>110</v>
      </c>
      <c r="L14" s="35">
        <v>42991</v>
      </c>
      <c r="M14" s="35">
        <v>42992</v>
      </c>
      <c r="N14" s="31">
        <f>1597.07/2</f>
        <v>798.53499999999997</v>
      </c>
      <c r="O14" s="31">
        <f>1597.07/2</f>
        <v>798.53499999999997</v>
      </c>
      <c r="P14" s="31">
        <f t="shared" si="0"/>
        <v>1597.07</v>
      </c>
      <c r="Q14" s="27">
        <v>4</v>
      </c>
      <c r="R14" s="31">
        <v>120</v>
      </c>
      <c r="S14" s="36"/>
      <c r="T14" s="31"/>
      <c r="U14" s="32">
        <f t="shared" si="1"/>
        <v>480</v>
      </c>
      <c r="V14" s="31">
        <f t="shared" si="2"/>
        <v>2077.0699999999997</v>
      </c>
      <c r="W14" s="31">
        <f t="shared" si="3"/>
        <v>2077.0699999999997</v>
      </c>
      <c r="X14" s="33"/>
    </row>
    <row r="15" spans="1:24" ht="38.25">
      <c r="A15" s="27" t="s">
        <v>31</v>
      </c>
      <c r="B15" s="27" t="s">
        <v>111</v>
      </c>
      <c r="C15" s="27" t="s">
        <v>112</v>
      </c>
      <c r="D15" s="29" t="s">
        <v>113</v>
      </c>
      <c r="E15" s="34" t="s">
        <v>114</v>
      </c>
      <c r="F15" s="34" t="s">
        <v>115</v>
      </c>
      <c r="G15" s="30" t="s">
        <v>36</v>
      </c>
      <c r="H15" s="27" t="s">
        <v>37</v>
      </c>
      <c r="I15" s="27" t="s">
        <v>38</v>
      </c>
      <c r="J15" s="27" t="s">
        <v>116</v>
      </c>
      <c r="K15" s="31" t="s">
        <v>117</v>
      </c>
      <c r="L15" s="35">
        <v>42995</v>
      </c>
      <c r="M15" s="35">
        <v>43000</v>
      </c>
      <c r="N15" s="31">
        <f>701.32/2</f>
        <v>350.66</v>
      </c>
      <c r="O15" s="31">
        <f>701.32/2</f>
        <v>350.66</v>
      </c>
      <c r="P15" s="31">
        <f t="shared" si="0"/>
        <v>701.32</v>
      </c>
      <c r="Q15" s="27">
        <v>6</v>
      </c>
      <c r="R15" s="31">
        <v>120</v>
      </c>
      <c r="S15" s="36">
        <v>3</v>
      </c>
      <c r="T15" s="31">
        <v>100</v>
      </c>
      <c r="U15" s="32">
        <f t="shared" si="1"/>
        <v>1020</v>
      </c>
      <c r="V15" s="31">
        <f t="shared" si="2"/>
        <v>1721.3200000000002</v>
      </c>
      <c r="W15" s="31">
        <f t="shared" si="3"/>
        <v>1721.3200000000002</v>
      </c>
      <c r="X15" s="33"/>
    </row>
    <row r="16" spans="1:24" ht="25.5">
      <c r="A16" s="27" t="s">
        <v>31</v>
      </c>
      <c r="B16" s="27" t="s">
        <v>31</v>
      </c>
      <c r="C16" s="27" t="s">
        <v>49</v>
      </c>
      <c r="D16" s="29" t="s">
        <v>107</v>
      </c>
      <c r="E16" s="20" t="s">
        <v>50</v>
      </c>
      <c r="F16" s="34" t="s">
        <v>90</v>
      </c>
      <c r="G16" s="30" t="s">
        <v>36</v>
      </c>
      <c r="H16" s="27" t="s">
        <v>37</v>
      </c>
      <c r="I16" s="27" t="s">
        <v>38</v>
      </c>
      <c r="J16" s="27" t="s">
        <v>39</v>
      </c>
      <c r="K16" s="31" t="s">
        <v>40</v>
      </c>
      <c r="L16" s="35">
        <v>43006</v>
      </c>
      <c r="M16" s="35">
        <v>43007</v>
      </c>
      <c r="N16" s="31">
        <f>1670.59/2</f>
        <v>835.29499999999996</v>
      </c>
      <c r="O16" s="31">
        <f>1670.59/2</f>
        <v>835.29499999999996</v>
      </c>
      <c r="P16" s="31">
        <f t="shared" si="0"/>
        <v>1670.59</v>
      </c>
      <c r="Q16" s="27">
        <v>0</v>
      </c>
      <c r="R16" s="31"/>
      <c r="S16" s="36">
        <v>0</v>
      </c>
      <c r="T16" s="31"/>
      <c r="U16" s="32">
        <f t="shared" si="1"/>
        <v>0</v>
      </c>
      <c r="V16" s="31">
        <f t="shared" si="2"/>
        <v>1670.59</v>
      </c>
      <c r="W16" s="31">
        <f t="shared" si="3"/>
        <v>1670.59</v>
      </c>
      <c r="X16" s="33"/>
    </row>
    <row r="17" spans="1:24" ht="38.25">
      <c r="A17" s="27" t="s">
        <v>106</v>
      </c>
      <c r="B17" s="27" t="s">
        <v>64</v>
      </c>
      <c r="C17" s="27" t="s">
        <v>118</v>
      </c>
      <c r="D17" s="29" t="s">
        <v>119</v>
      </c>
      <c r="E17" s="34" t="s">
        <v>120</v>
      </c>
      <c r="F17" s="34" t="s">
        <v>121</v>
      </c>
      <c r="G17" s="30" t="s">
        <v>36</v>
      </c>
      <c r="H17" s="27" t="s">
        <v>37</v>
      </c>
      <c r="I17" s="27" t="s">
        <v>38</v>
      </c>
      <c r="J17" s="27" t="s">
        <v>39</v>
      </c>
      <c r="K17" s="31" t="s">
        <v>40</v>
      </c>
      <c r="L17" s="35">
        <v>42996</v>
      </c>
      <c r="M17" s="35">
        <v>43000</v>
      </c>
      <c r="N17" s="31">
        <f>918.1/2</f>
        <v>459.05</v>
      </c>
      <c r="O17" s="31">
        <f>918.1/2</f>
        <v>459.05</v>
      </c>
      <c r="P17" s="31">
        <f t="shared" si="0"/>
        <v>918.1</v>
      </c>
      <c r="Q17" s="27">
        <v>5</v>
      </c>
      <c r="R17" s="31">
        <v>120</v>
      </c>
      <c r="S17" s="36"/>
      <c r="T17" s="31"/>
      <c r="U17" s="32">
        <f t="shared" si="1"/>
        <v>600</v>
      </c>
      <c r="V17" s="31">
        <f t="shared" si="2"/>
        <v>1518.1</v>
      </c>
      <c r="W17" s="31">
        <f t="shared" si="3"/>
        <v>1518.1</v>
      </c>
      <c r="X17" s="33"/>
    </row>
    <row r="18" spans="1:24" ht="25.5">
      <c r="A18" s="27" t="s">
        <v>106</v>
      </c>
      <c r="B18" s="27" t="s">
        <v>52</v>
      </c>
      <c r="C18" s="27" t="s">
        <v>86</v>
      </c>
      <c r="D18" s="29" t="s">
        <v>107</v>
      </c>
      <c r="E18" s="20" t="s">
        <v>87</v>
      </c>
      <c r="F18" s="34" t="s">
        <v>122</v>
      </c>
      <c r="G18" s="30" t="s">
        <v>36</v>
      </c>
      <c r="H18" s="27" t="s">
        <v>37</v>
      </c>
      <c r="I18" s="27" t="s">
        <v>38</v>
      </c>
      <c r="J18" s="27" t="s">
        <v>116</v>
      </c>
      <c r="K18" s="31" t="s">
        <v>117</v>
      </c>
      <c r="L18" s="35">
        <v>42997</v>
      </c>
      <c r="M18" s="35">
        <v>42997</v>
      </c>
      <c r="N18" s="31">
        <f>620.21/2</f>
        <v>310.10500000000002</v>
      </c>
      <c r="O18" s="31">
        <f>620.21/2</f>
        <v>310.10500000000002</v>
      </c>
      <c r="P18" s="31">
        <f t="shared" si="0"/>
        <v>620.21</v>
      </c>
      <c r="Q18" s="27">
        <v>0</v>
      </c>
      <c r="R18" s="31"/>
      <c r="S18" s="36">
        <v>0</v>
      </c>
      <c r="T18" s="31"/>
      <c r="U18" s="32">
        <f t="shared" si="1"/>
        <v>0</v>
      </c>
      <c r="V18" s="31">
        <f t="shared" si="2"/>
        <v>620.21</v>
      </c>
      <c r="W18" s="31">
        <f t="shared" si="3"/>
        <v>620.21</v>
      </c>
      <c r="X18" s="33"/>
    </row>
    <row r="19" spans="1:24" ht="25.5">
      <c r="A19" s="27" t="s">
        <v>106</v>
      </c>
      <c r="B19" s="27" t="s">
        <v>53</v>
      </c>
      <c r="C19" s="27" t="s">
        <v>54</v>
      </c>
      <c r="D19" s="29" t="s">
        <v>88</v>
      </c>
      <c r="E19" s="20" t="s">
        <v>55</v>
      </c>
      <c r="F19" s="34" t="s">
        <v>122</v>
      </c>
      <c r="G19" s="30" t="s">
        <v>36</v>
      </c>
      <c r="H19" s="27" t="s">
        <v>37</v>
      </c>
      <c r="I19" s="27" t="s">
        <v>38</v>
      </c>
      <c r="J19" s="27" t="s">
        <v>116</v>
      </c>
      <c r="K19" s="31" t="s">
        <v>117</v>
      </c>
      <c r="L19" s="35">
        <v>42997</v>
      </c>
      <c r="M19" s="35">
        <v>42997</v>
      </c>
      <c r="N19" s="31">
        <f>620.21/2</f>
        <v>310.10500000000002</v>
      </c>
      <c r="O19" s="31">
        <f>620.21/2</f>
        <v>310.10500000000002</v>
      </c>
      <c r="P19" s="31">
        <f t="shared" si="0"/>
        <v>620.21</v>
      </c>
      <c r="Q19" s="27">
        <v>3</v>
      </c>
      <c r="R19" s="31">
        <v>120</v>
      </c>
      <c r="S19" s="36"/>
      <c r="T19" s="31"/>
      <c r="U19" s="32">
        <f t="shared" si="1"/>
        <v>360</v>
      </c>
      <c r="V19" s="31">
        <f t="shared" si="2"/>
        <v>980.21</v>
      </c>
      <c r="W19" s="31">
        <f t="shared" si="3"/>
        <v>980.21</v>
      </c>
      <c r="X19" s="33"/>
    </row>
    <row r="20" spans="1:24" ht="25.5">
      <c r="A20" s="27" t="s">
        <v>106</v>
      </c>
      <c r="B20" s="27" t="s">
        <v>52</v>
      </c>
      <c r="C20" s="27" t="s">
        <v>86</v>
      </c>
      <c r="D20" s="29" t="s">
        <v>107</v>
      </c>
      <c r="E20" s="20" t="s">
        <v>87</v>
      </c>
      <c r="F20" s="34" t="s">
        <v>90</v>
      </c>
      <c r="G20" s="30" t="s">
        <v>36</v>
      </c>
      <c r="H20" s="27" t="s">
        <v>37</v>
      </c>
      <c r="I20" s="27" t="s">
        <v>38</v>
      </c>
      <c r="J20" s="27" t="s">
        <v>39</v>
      </c>
      <c r="K20" s="31" t="s">
        <v>40</v>
      </c>
      <c r="L20" s="35">
        <v>43000</v>
      </c>
      <c r="M20" s="35">
        <v>43000</v>
      </c>
      <c r="N20" s="31">
        <f>1146.13/2</f>
        <v>573.06500000000005</v>
      </c>
      <c r="O20" s="31">
        <f>1146.13/2</f>
        <v>573.06500000000005</v>
      </c>
      <c r="P20" s="31">
        <f t="shared" si="0"/>
        <v>1146.1300000000001</v>
      </c>
      <c r="Q20" s="27">
        <v>0</v>
      </c>
      <c r="R20" s="31"/>
      <c r="S20" s="36">
        <v>0</v>
      </c>
      <c r="T20" s="31"/>
      <c r="U20" s="32">
        <f t="shared" si="1"/>
        <v>0</v>
      </c>
      <c r="V20" s="31">
        <f t="shared" si="2"/>
        <v>1146.1300000000001</v>
      </c>
      <c r="W20" s="31">
        <f t="shared" si="3"/>
        <v>1146.1300000000001</v>
      </c>
      <c r="X20" s="33"/>
    </row>
    <row r="21" spans="1:24" ht="25.5">
      <c r="A21" s="27" t="s">
        <v>106</v>
      </c>
      <c r="B21" s="27" t="s">
        <v>53</v>
      </c>
      <c r="C21" s="27" t="s">
        <v>54</v>
      </c>
      <c r="D21" s="29" t="s">
        <v>88</v>
      </c>
      <c r="E21" s="20" t="s">
        <v>55</v>
      </c>
      <c r="F21" s="34" t="s">
        <v>90</v>
      </c>
      <c r="G21" s="30" t="s">
        <v>36</v>
      </c>
      <c r="H21" s="27" t="s">
        <v>37</v>
      </c>
      <c r="I21" s="27" t="s">
        <v>38</v>
      </c>
      <c r="J21" s="27" t="s">
        <v>39</v>
      </c>
      <c r="K21" s="31" t="s">
        <v>40</v>
      </c>
      <c r="L21" s="35">
        <v>43000</v>
      </c>
      <c r="M21" s="35">
        <v>43000</v>
      </c>
      <c r="N21" s="31">
        <f>1146.13/2</f>
        <v>573.06500000000005</v>
      </c>
      <c r="O21" s="31">
        <f>1146.13/2</f>
        <v>573.06500000000005</v>
      </c>
      <c r="P21" s="31">
        <f t="shared" si="0"/>
        <v>1146.1300000000001</v>
      </c>
      <c r="Q21" s="27">
        <v>3</v>
      </c>
      <c r="R21" s="31">
        <v>120</v>
      </c>
      <c r="S21" s="36"/>
      <c r="T21" s="31"/>
      <c r="U21" s="32">
        <f t="shared" si="1"/>
        <v>360</v>
      </c>
      <c r="V21" s="31">
        <f t="shared" si="2"/>
        <v>1506.13</v>
      </c>
      <c r="W21" s="31">
        <f t="shared" si="3"/>
        <v>1506.13</v>
      </c>
      <c r="X21" s="33"/>
    </row>
    <row r="22" spans="1:24" ht="25.5">
      <c r="A22" s="27" t="s">
        <v>31</v>
      </c>
      <c r="B22" s="27" t="s">
        <v>31</v>
      </c>
      <c r="C22" s="27" t="s">
        <v>123</v>
      </c>
      <c r="D22" s="29" t="s">
        <v>124</v>
      </c>
      <c r="E22" s="34" t="s">
        <v>125</v>
      </c>
      <c r="F22" s="34" t="s">
        <v>126</v>
      </c>
      <c r="G22" s="30" t="s">
        <v>36</v>
      </c>
      <c r="H22" s="27" t="s">
        <v>37</v>
      </c>
      <c r="I22" s="27" t="s">
        <v>38</v>
      </c>
      <c r="J22" s="27" t="s">
        <v>127</v>
      </c>
      <c r="K22" s="31" t="s">
        <v>63</v>
      </c>
      <c r="L22" s="35">
        <v>42998</v>
      </c>
      <c r="M22" s="35">
        <v>42999</v>
      </c>
      <c r="N22" s="31">
        <f>1918.58/2</f>
        <v>959.29</v>
      </c>
      <c r="O22" s="31">
        <f>1918.58/2</f>
        <v>959.29</v>
      </c>
      <c r="P22" s="31">
        <f t="shared" si="0"/>
        <v>1918.58</v>
      </c>
      <c r="Q22" s="27">
        <v>2</v>
      </c>
      <c r="R22" s="31">
        <v>120</v>
      </c>
      <c r="S22" s="36"/>
      <c r="T22" s="31"/>
      <c r="U22" s="32">
        <f t="shared" si="1"/>
        <v>240</v>
      </c>
      <c r="V22" s="31">
        <f t="shared" si="2"/>
        <v>2158.58</v>
      </c>
      <c r="W22" s="31">
        <f t="shared" si="3"/>
        <v>2158.58</v>
      </c>
      <c r="X22" s="33"/>
    </row>
    <row r="23" spans="1:24" ht="25.5">
      <c r="A23" s="27" t="s">
        <v>106</v>
      </c>
      <c r="B23" s="27" t="s">
        <v>52</v>
      </c>
      <c r="C23" s="27" t="s">
        <v>86</v>
      </c>
      <c r="D23" s="29" t="s">
        <v>107</v>
      </c>
      <c r="E23" s="20" t="s">
        <v>87</v>
      </c>
      <c r="F23" s="34" t="s">
        <v>128</v>
      </c>
      <c r="G23" s="30" t="s">
        <v>36</v>
      </c>
      <c r="H23" s="27" t="s">
        <v>37</v>
      </c>
      <c r="I23" s="27" t="s">
        <v>38</v>
      </c>
      <c r="J23" s="27" t="s">
        <v>127</v>
      </c>
      <c r="K23" s="31" t="s">
        <v>63</v>
      </c>
      <c r="L23" s="35">
        <v>43003</v>
      </c>
      <c r="M23" s="35">
        <v>43003</v>
      </c>
      <c r="N23" s="31">
        <f>1855.88/2</f>
        <v>927.94</v>
      </c>
      <c r="O23" s="31">
        <f>1855.88/2</f>
        <v>927.94</v>
      </c>
      <c r="P23" s="31">
        <f t="shared" si="0"/>
        <v>1855.88</v>
      </c>
      <c r="Q23" s="27">
        <v>0</v>
      </c>
      <c r="R23" s="31"/>
      <c r="S23" s="36">
        <v>0</v>
      </c>
      <c r="T23" s="31"/>
      <c r="U23" s="32">
        <f t="shared" si="1"/>
        <v>0</v>
      </c>
      <c r="V23" s="31">
        <f t="shared" si="2"/>
        <v>1855.88</v>
      </c>
      <c r="W23" s="31">
        <f t="shared" si="3"/>
        <v>1855.88</v>
      </c>
      <c r="X23" s="33"/>
    </row>
    <row r="24" spans="1:24" ht="25.5">
      <c r="A24" s="27" t="s">
        <v>106</v>
      </c>
      <c r="B24" s="27" t="s">
        <v>53</v>
      </c>
      <c r="C24" s="27" t="s">
        <v>54</v>
      </c>
      <c r="D24" s="29" t="s">
        <v>88</v>
      </c>
      <c r="E24" s="20" t="s">
        <v>55</v>
      </c>
      <c r="F24" s="34" t="s">
        <v>128</v>
      </c>
      <c r="G24" s="30" t="s">
        <v>36</v>
      </c>
      <c r="H24" s="27" t="s">
        <v>37</v>
      </c>
      <c r="I24" s="27" t="s">
        <v>38</v>
      </c>
      <c r="J24" s="27" t="s">
        <v>127</v>
      </c>
      <c r="K24" s="31" t="s">
        <v>63</v>
      </c>
      <c r="L24" s="35">
        <v>43003</v>
      </c>
      <c r="M24" s="35">
        <v>43003</v>
      </c>
      <c r="N24" s="31">
        <f>1855.88/2</f>
        <v>927.94</v>
      </c>
      <c r="O24" s="31">
        <f>1855.88/2</f>
        <v>927.94</v>
      </c>
      <c r="P24" s="31">
        <f t="shared" si="0"/>
        <v>1855.88</v>
      </c>
      <c r="Q24" s="27">
        <v>3</v>
      </c>
      <c r="R24" s="31">
        <v>120</v>
      </c>
      <c r="S24" s="36"/>
      <c r="T24" s="31"/>
      <c r="U24" s="32">
        <f t="shared" si="1"/>
        <v>360</v>
      </c>
      <c r="V24" s="31">
        <f t="shared" si="2"/>
        <v>2215.88</v>
      </c>
      <c r="W24" s="31">
        <f t="shared" si="3"/>
        <v>2215.88</v>
      </c>
      <c r="X24" s="33"/>
    </row>
    <row r="25" spans="1:24" ht="38.25">
      <c r="A25" s="27" t="s">
        <v>44</v>
      </c>
      <c r="B25" s="27" t="s">
        <v>44</v>
      </c>
      <c r="C25" s="27" t="s">
        <v>79</v>
      </c>
      <c r="D25" s="29" t="s">
        <v>107</v>
      </c>
      <c r="E25" s="20" t="s">
        <v>80</v>
      </c>
      <c r="F25" s="34" t="s">
        <v>128</v>
      </c>
      <c r="G25" s="30" t="s">
        <v>36</v>
      </c>
      <c r="H25" s="27" t="s">
        <v>116</v>
      </c>
      <c r="I25" s="31" t="s">
        <v>117</v>
      </c>
      <c r="J25" s="27" t="s">
        <v>127</v>
      </c>
      <c r="K25" s="31" t="s">
        <v>63</v>
      </c>
      <c r="L25" s="35">
        <v>43003</v>
      </c>
      <c r="M25" s="35">
        <v>43003</v>
      </c>
      <c r="N25" s="31">
        <f>908.69/2</f>
        <v>454.34500000000003</v>
      </c>
      <c r="O25" s="31">
        <f>908.69/2</f>
        <v>454.34500000000003</v>
      </c>
      <c r="P25" s="31">
        <f t="shared" si="0"/>
        <v>908.69</v>
      </c>
      <c r="Q25" s="27">
        <v>0</v>
      </c>
      <c r="R25" s="31"/>
      <c r="S25" s="36">
        <v>0</v>
      </c>
      <c r="T25" s="31"/>
      <c r="U25" s="32">
        <f t="shared" si="1"/>
        <v>0</v>
      </c>
      <c r="V25" s="31">
        <f t="shared" si="2"/>
        <v>908.69</v>
      </c>
      <c r="W25" s="31">
        <f t="shared" si="3"/>
        <v>908.69</v>
      </c>
      <c r="X25" s="33"/>
    </row>
    <row r="26" spans="1:24" ht="25.5">
      <c r="A26" s="27" t="s">
        <v>44</v>
      </c>
      <c r="B26" s="27" t="s">
        <v>129</v>
      </c>
      <c r="C26" s="27" t="s">
        <v>130</v>
      </c>
      <c r="D26" s="29" t="s">
        <v>131</v>
      </c>
      <c r="E26" s="34" t="s">
        <v>132</v>
      </c>
      <c r="F26" s="34" t="s">
        <v>126</v>
      </c>
      <c r="G26" s="30" t="s">
        <v>36</v>
      </c>
      <c r="H26" s="27" t="s">
        <v>37</v>
      </c>
      <c r="I26" s="27" t="s">
        <v>38</v>
      </c>
      <c r="J26" s="27" t="s">
        <v>127</v>
      </c>
      <c r="K26" s="31" t="s">
        <v>63</v>
      </c>
      <c r="L26" s="35">
        <v>42996</v>
      </c>
      <c r="M26" s="35">
        <v>43000</v>
      </c>
      <c r="N26" s="31">
        <f>1009.15/2</f>
        <v>504.57499999999999</v>
      </c>
      <c r="O26" s="31">
        <f>1009.15/2</f>
        <v>504.57499999999999</v>
      </c>
      <c r="P26" s="31">
        <f t="shared" si="0"/>
        <v>1009.15</v>
      </c>
      <c r="Q26" s="27">
        <v>3</v>
      </c>
      <c r="R26" s="31">
        <v>120</v>
      </c>
      <c r="S26" s="36"/>
      <c r="T26" s="31"/>
      <c r="U26" s="32">
        <f t="shared" si="1"/>
        <v>360</v>
      </c>
      <c r="V26" s="31">
        <f t="shared" si="2"/>
        <v>1369.15</v>
      </c>
      <c r="W26" s="31">
        <f t="shared" si="3"/>
        <v>1369.15</v>
      </c>
      <c r="X26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X16"/>
  <sheetViews>
    <sheetView topLeftCell="F1" workbookViewId="0">
      <selection activeCell="G5" sqref="G5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6" t="s">
        <v>1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</row>
    <row r="2" spans="1:24" ht="15">
      <c r="A2" s="96" t="s">
        <v>2</v>
      </c>
      <c r="B2" s="96"/>
      <c r="C2" s="96" t="s">
        <v>3</v>
      </c>
      <c r="D2" s="96"/>
      <c r="E2" s="96"/>
      <c r="F2" s="96" t="s">
        <v>4</v>
      </c>
      <c r="G2" s="96"/>
      <c r="H2" s="96"/>
      <c r="I2" s="96"/>
      <c r="J2" s="96"/>
      <c r="K2" s="96"/>
      <c r="L2" s="96"/>
      <c r="M2" s="96"/>
      <c r="N2" s="96" t="s">
        <v>5</v>
      </c>
      <c r="O2" s="96"/>
      <c r="P2" s="96"/>
      <c r="Q2" s="96" t="s">
        <v>6</v>
      </c>
      <c r="R2" s="96"/>
      <c r="S2" s="96"/>
      <c r="T2" s="96"/>
      <c r="U2" s="96"/>
      <c r="V2" s="96"/>
      <c r="W2" s="96" t="s">
        <v>7</v>
      </c>
      <c r="X2" s="149" t="s">
        <v>8</v>
      </c>
    </row>
    <row r="3" spans="1:24" ht="15">
      <c r="A3" s="97" t="s">
        <v>9</v>
      </c>
      <c r="B3" s="97" t="s">
        <v>10</v>
      </c>
      <c r="C3" s="97" t="s">
        <v>11</v>
      </c>
      <c r="D3" s="97" t="s">
        <v>12</v>
      </c>
      <c r="E3" s="97" t="s">
        <v>13</v>
      </c>
      <c r="F3" s="97" t="s">
        <v>14</v>
      </c>
      <c r="G3" s="97" t="s">
        <v>15</v>
      </c>
      <c r="H3" s="97" t="s">
        <v>16</v>
      </c>
      <c r="I3" s="97"/>
      <c r="J3" s="98" t="s">
        <v>17</v>
      </c>
      <c r="K3" s="98"/>
      <c r="L3" s="97" t="s">
        <v>18</v>
      </c>
      <c r="M3" s="97" t="s">
        <v>19</v>
      </c>
      <c r="N3" s="98" t="s">
        <v>20</v>
      </c>
      <c r="O3" s="98" t="s">
        <v>21</v>
      </c>
      <c r="P3" s="98" t="s">
        <v>22</v>
      </c>
      <c r="Q3" s="98" t="s">
        <v>23</v>
      </c>
      <c r="R3" s="98"/>
      <c r="S3" s="98" t="s">
        <v>24</v>
      </c>
      <c r="T3" s="98"/>
      <c r="U3" s="97" t="s">
        <v>25</v>
      </c>
      <c r="V3" s="98" t="s">
        <v>22</v>
      </c>
      <c r="W3" s="96"/>
      <c r="X3" s="149"/>
    </row>
    <row r="4" spans="1:24" ht="15">
      <c r="A4" s="97"/>
      <c r="B4" s="97"/>
      <c r="C4" s="97"/>
      <c r="D4" s="97"/>
      <c r="E4" s="97"/>
      <c r="F4" s="97"/>
      <c r="G4" s="97"/>
      <c r="H4" s="10" t="s">
        <v>26</v>
      </c>
      <c r="I4" s="10" t="s">
        <v>27</v>
      </c>
      <c r="J4" s="10" t="s">
        <v>26</v>
      </c>
      <c r="K4" s="11" t="s">
        <v>28</v>
      </c>
      <c r="L4" s="97"/>
      <c r="M4" s="97"/>
      <c r="N4" s="98"/>
      <c r="O4" s="98"/>
      <c r="P4" s="98"/>
      <c r="Q4" s="10" t="s">
        <v>29</v>
      </c>
      <c r="R4" s="11" t="s">
        <v>30</v>
      </c>
      <c r="S4" s="10" t="s">
        <v>29</v>
      </c>
      <c r="T4" s="11" t="s">
        <v>30</v>
      </c>
      <c r="U4" s="97"/>
      <c r="V4" s="98"/>
      <c r="W4" s="96"/>
      <c r="X4" s="150"/>
    </row>
    <row r="5" spans="1:24" ht="25.5">
      <c r="A5" s="94" t="s">
        <v>228</v>
      </c>
      <c r="B5" s="94" t="s">
        <v>566</v>
      </c>
      <c r="C5" s="94" t="s">
        <v>54</v>
      </c>
      <c r="D5" s="29" t="s">
        <v>88</v>
      </c>
      <c r="E5" s="20" t="s">
        <v>55</v>
      </c>
      <c r="F5" s="53" t="s">
        <v>563</v>
      </c>
      <c r="G5" s="53" t="s">
        <v>36</v>
      </c>
      <c r="H5" s="53" t="s">
        <v>37</v>
      </c>
      <c r="I5" s="53" t="s">
        <v>38</v>
      </c>
      <c r="J5" s="53" t="s">
        <v>39</v>
      </c>
      <c r="K5" s="53" t="s">
        <v>40</v>
      </c>
      <c r="L5" s="69">
        <v>43902</v>
      </c>
      <c r="M5" s="69">
        <v>43902</v>
      </c>
      <c r="N5" s="70">
        <f>980.94/2</f>
        <v>490.47</v>
      </c>
      <c r="O5" s="70">
        <f>980.94/2</f>
        <v>490.47</v>
      </c>
      <c r="P5" s="70">
        <f>SUM(N5:O5)</f>
        <v>980.94</v>
      </c>
      <c r="Q5" s="53">
        <v>2</v>
      </c>
      <c r="R5" s="70">
        <v>120</v>
      </c>
      <c r="S5" s="53">
        <v>0</v>
      </c>
      <c r="T5" s="70">
        <v>0</v>
      </c>
      <c r="U5" s="70">
        <f>(Q5*R5)+(S5*T5)</f>
        <v>240</v>
      </c>
      <c r="V5" s="70">
        <f>U5+P5</f>
        <v>1220.94</v>
      </c>
      <c r="W5" s="70">
        <f>V5</f>
        <v>1220.94</v>
      </c>
      <c r="X5" s="53" t="s">
        <v>77</v>
      </c>
    </row>
    <row r="6" spans="1:24" ht="38.25">
      <c r="A6" s="164" t="s">
        <v>233</v>
      </c>
      <c r="B6" s="164" t="s">
        <v>233</v>
      </c>
      <c r="C6" s="164" t="s">
        <v>568</v>
      </c>
      <c r="D6" s="80"/>
      <c r="E6" s="81" t="s">
        <v>50</v>
      </c>
      <c r="F6" s="53" t="s">
        <v>563</v>
      </c>
      <c r="G6" s="79" t="s">
        <v>36</v>
      </c>
      <c r="H6" s="79" t="s">
        <v>37</v>
      </c>
      <c r="I6" s="79" t="s">
        <v>38</v>
      </c>
      <c r="J6" s="53" t="s">
        <v>39</v>
      </c>
      <c r="K6" s="53" t="s">
        <v>40</v>
      </c>
      <c r="L6" s="82">
        <v>43902</v>
      </c>
      <c r="M6" s="82">
        <v>43902</v>
      </c>
      <c r="N6" s="70">
        <f>980.94/2</f>
        <v>490.47</v>
      </c>
      <c r="O6" s="70">
        <f>980.94/2</f>
        <v>490.47</v>
      </c>
      <c r="P6" s="70">
        <f t="shared" ref="P6:P7" si="0">SUM(N6:O6)</f>
        <v>980.94</v>
      </c>
      <c r="Q6" s="164">
        <v>0</v>
      </c>
      <c r="R6" s="70">
        <v>0</v>
      </c>
      <c r="S6" s="53">
        <v>0</v>
      </c>
      <c r="T6" s="70">
        <v>0</v>
      </c>
      <c r="U6" s="70">
        <f t="shared" ref="U6:U7" si="1">(Q6*R6)+(S6*T6)</f>
        <v>0</v>
      </c>
      <c r="V6" s="70">
        <f t="shared" ref="V6:V7" si="2">U6+P6</f>
        <v>980.94</v>
      </c>
      <c r="W6" s="70">
        <f t="shared" ref="W6:W7" si="3">V6</f>
        <v>980.94</v>
      </c>
      <c r="X6" s="164"/>
    </row>
    <row r="7" spans="1:24" ht="38.25">
      <c r="A7" s="94" t="s">
        <v>253</v>
      </c>
      <c r="B7" s="94" t="s">
        <v>212</v>
      </c>
      <c r="C7" s="94" t="s">
        <v>100</v>
      </c>
      <c r="D7" s="29" t="s">
        <v>101</v>
      </c>
      <c r="E7" s="20" t="s">
        <v>102</v>
      </c>
      <c r="F7" s="53" t="s">
        <v>558</v>
      </c>
      <c r="G7" s="53" t="s">
        <v>36</v>
      </c>
      <c r="H7" s="53" t="s">
        <v>37</v>
      </c>
      <c r="I7" s="53" t="s">
        <v>38</v>
      </c>
      <c r="J7" s="53" t="s">
        <v>62</v>
      </c>
      <c r="K7" s="53" t="s">
        <v>414</v>
      </c>
      <c r="L7" s="69">
        <v>43892</v>
      </c>
      <c r="M7" s="69">
        <v>43895</v>
      </c>
      <c r="N7" s="166">
        <f>2026.59/2</f>
        <v>1013.295</v>
      </c>
      <c r="O7" s="166">
        <f>2026.59/2</f>
        <v>1013.295</v>
      </c>
      <c r="P7" s="70">
        <f t="shared" si="0"/>
        <v>2026.59</v>
      </c>
      <c r="Q7" s="84">
        <v>4</v>
      </c>
      <c r="R7" s="70">
        <v>120</v>
      </c>
      <c r="S7" s="53">
        <v>4</v>
      </c>
      <c r="T7" s="70">
        <v>100</v>
      </c>
      <c r="U7" s="70">
        <f t="shared" si="1"/>
        <v>880</v>
      </c>
      <c r="V7" s="70">
        <f t="shared" si="2"/>
        <v>2906.59</v>
      </c>
      <c r="W7" s="70">
        <f t="shared" si="3"/>
        <v>2906.59</v>
      </c>
      <c r="X7" s="77"/>
    </row>
    <row r="13" spans="1:24">
      <c r="Q13" s="83"/>
    </row>
    <row r="14" spans="1:24">
      <c r="Q14" s="83"/>
    </row>
    <row r="15" spans="1:24">
      <c r="Q15" s="83"/>
    </row>
    <row r="16" spans="1:24">
      <c r="Q16" s="8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X21"/>
  <sheetViews>
    <sheetView workbookViewId="0">
      <selection activeCell="C25" sqref="C25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6" t="s">
        <v>1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</row>
    <row r="2" spans="1:24" ht="15">
      <c r="A2" s="96" t="s">
        <v>2</v>
      </c>
      <c r="B2" s="96"/>
      <c r="C2" s="96" t="s">
        <v>3</v>
      </c>
      <c r="D2" s="96"/>
      <c r="E2" s="96"/>
      <c r="F2" s="96" t="s">
        <v>4</v>
      </c>
      <c r="G2" s="96"/>
      <c r="H2" s="96"/>
      <c r="I2" s="96"/>
      <c r="J2" s="96"/>
      <c r="K2" s="96"/>
      <c r="L2" s="96"/>
      <c r="M2" s="96"/>
      <c r="N2" s="96" t="s">
        <v>5</v>
      </c>
      <c r="O2" s="96"/>
      <c r="P2" s="96"/>
      <c r="Q2" s="96" t="s">
        <v>6</v>
      </c>
      <c r="R2" s="96"/>
      <c r="S2" s="96"/>
      <c r="T2" s="96"/>
      <c r="U2" s="96"/>
      <c r="V2" s="96"/>
      <c r="W2" s="96" t="s">
        <v>7</v>
      </c>
      <c r="X2" s="149" t="s">
        <v>8</v>
      </c>
    </row>
    <row r="3" spans="1:24" ht="15">
      <c r="A3" s="97" t="s">
        <v>9</v>
      </c>
      <c r="B3" s="97" t="s">
        <v>10</v>
      </c>
      <c r="C3" s="97" t="s">
        <v>11</v>
      </c>
      <c r="D3" s="97" t="s">
        <v>12</v>
      </c>
      <c r="E3" s="97" t="s">
        <v>13</v>
      </c>
      <c r="F3" s="97" t="s">
        <v>14</v>
      </c>
      <c r="G3" s="97" t="s">
        <v>15</v>
      </c>
      <c r="H3" s="97" t="s">
        <v>16</v>
      </c>
      <c r="I3" s="97"/>
      <c r="J3" s="98" t="s">
        <v>17</v>
      </c>
      <c r="K3" s="98"/>
      <c r="L3" s="97" t="s">
        <v>18</v>
      </c>
      <c r="M3" s="97" t="s">
        <v>19</v>
      </c>
      <c r="N3" s="98" t="s">
        <v>20</v>
      </c>
      <c r="O3" s="98" t="s">
        <v>21</v>
      </c>
      <c r="P3" s="98" t="s">
        <v>22</v>
      </c>
      <c r="Q3" s="98" t="s">
        <v>23</v>
      </c>
      <c r="R3" s="98"/>
      <c r="S3" s="98" t="s">
        <v>24</v>
      </c>
      <c r="T3" s="98"/>
      <c r="U3" s="97" t="s">
        <v>25</v>
      </c>
      <c r="V3" s="98" t="s">
        <v>22</v>
      </c>
      <c r="W3" s="96"/>
      <c r="X3" s="149"/>
    </row>
    <row r="4" spans="1:24" ht="15">
      <c r="A4" s="97"/>
      <c r="B4" s="97"/>
      <c r="C4" s="97"/>
      <c r="D4" s="97"/>
      <c r="E4" s="97"/>
      <c r="F4" s="97"/>
      <c r="G4" s="97"/>
      <c r="H4" s="10" t="s">
        <v>26</v>
      </c>
      <c r="I4" s="10" t="s">
        <v>27</v>
      </c>
      <c r="J4" s="10" t="s">
        <v>26</v>
      </c>
      <c r="K4" s="11" t="s">
        <v>28</v>
      </c>
      <c r="L4" s="97"/>
      <c r="M4" s="97"/>
      <c r="N4" s="98"/>
      <c r="O4" s="98"/>
      <c r="P4" s="98"/>
      <c r="Q4" s="10" t="s">
        <v>29</v>
      </c>
      <c r="R4" s="11" t="s">
        <v>30</v>
      </c>
      <c r="S4" s="10" t="s">
        <v>29</v>
      </c>
      <c r="T4" s="11" t="s">
        <v>30</v>
      </c>
      <c r="U4" s="97"/>
      <c r="V4" s="98"/>
      <c r="W4" s="96"/>
      <c r="X4" s="150"/>
    </row>
    <row r="5" spans="1:24" ht="15">
      <c r="A5" s="94"/>
      <c r="B5" s="94"/>
      <c r="C5" s="94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5">
      <c r="A6" s="94"/>
      <c r="B6" s="94"/>
      <c r="C6" s="94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5">
      <c r="A7" s="94"/>
      <c r="B7" s="94"/>
      <c r="C7" s="94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5">
      <c r="A8" s="94"/>
      <c r="B8" s="94"/>
      <c r="C8" s="94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5">
      <c r="A9" s="164"/>
      <c r="B9" s="164"/>
      <c r="C9" s="164"/>
      <c r="D9" s="80"/>
      <c r="E9" s="81"/>
      <c r="F9" s="53"/>
      <c r="G9" s="79"/>
      <c r="H9" s="79"/>
      <c r="I9" s="79"/>
      <c r="J9" s="79"/>
      <c r="K9" s="79"/>
      <c r="L9" s="82"/>
      <c r="M9" s="82"/>
      <c r="N9" s="165"/>
      <c r="O9" s="165"/>
      <c r="P9" s="165"/>
      <c r="Q9" s="164"/>
      <c r="R9" s="70"/>
      <c r="S9" s="53"/>
      <c r="T9" s="70"/>
      <c r="U9" s="70"/>
      <c r="V9" s="70"/>
      <c r="W9" s="70"/>
      <c r="X9" s="164"/>
    </row>
    <row r="10" spans="1:24" ht="15">
      <c r="A10" s="164"/>
      <c r="B10" s="164"/>
      <c r="C10" s="164"/>
      <c r="D10" s="80"/>
      <c r="E10" s="81"/>
      <c r="F10" s="77"/>
      <c r="G10" s="79"/>
      <c r="H10" s="79"/>
      <c r="I10" s="79"/>
      <c r="J10" s="79"/>
      <c r="K10" s="79"/>
      <c r="L10" s="82"/>
      <c r="M10" s="82"/>
      <c r="N10" s="165"/>
      <c r="O10" s="165"/>
      <c r="P10" s="165"/>
      <c r="Q10" s="77"/>
      <c r="R10" s="70"/>
      <c r="S10" s="53"/>
      <c r="T10" s="70"/>
      <c r="U10" s="70"/>
      <c r="V10" s="70"/>
      <c r="W10" s="70"/>
      <c r="X10" s="77"/>
    </row>
    <row r="11" spans="1:24" ht="15">
      <c r="A11" s="164"/>
      <c r="B11" s="164"/>
      <c r="C11" s="164"/>
      <c r="D11" s="56"/>
      <c r="E11" s="20"/>
      <c r="F11" s="77"/>
      <c r="G11" s="79"/>
      <c r="H11" s="79"/>
      <c r="I11" s="79"/>
      <c r="J11" s="79"/>
      <c r="K11" s="79"/>
      <c r="L11" s="82"/>
      <c r="M11" s="82"/>
      <c r="N11" s="165"/>
      <c r="O11" s="165"/>
      <c r="P11" s="165"/>
      <c r="Q11" s="53"/>
      <c r="R11" s="70"/>
      <c r="S11" s="53"/>
      <c r="T11" s="70"/>
      <c r="U11" s="70"/>
      <c r="V11" s="70"/>
      <c r="W11" s="70"/>
      <c r="X11" s="53"/>
    </row>
    <row r="12" spans="1:24" ht="15">
      <c r="A12" s="94"/>
      <c r="B12" s="94"/>
      <c r="C12" s="94"/>
      <c r="D12" s="29"/>
      <c r="E12" s="20"/>
      <c r="F12" s="77"/>
      <c r="G12" s="53"/>
      <c r="H12" s="53"/>
      <c r="I12" s="53"/>
      <c r="J12" s="53"/>
      <c r="K12" s="53"/>
      <c r="L12" s="69"/>
      <c r="M12" s="69"/>
      <c r="N12" s="166"/>
      <c r="O12" s="166"/>
      <c r="P12" s="166"/>
      <c r="Q12" s="53"/>
      <c r="R12" s="70"/>
      <c r="S12" s="53"/>
      <c r="T12" s="70"/>
      <c r="U12" s="70"/>
      <c r="V12" s="70"/>
      <c r="W12" s="70"/>
      <c r="X12" s="53"/>
    </row>
    <row r="18" spans="17:17">
      <c r="Q18" s="83"/>
    </row>
    <row r="19" spans="17:17">
      <c r="Q19" s="83"/>
    </row>
    <row r="20" spans="17:17">
      <c r="Q20" s="83"/>
    </row>
    <row r="21" spans="17:17">
      <c r="Q21" s="8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X21"/>
  <sheetViews>
    <sheetView topLeftCell="C1" workbookViewId="0">
      <selection activeCell="N12" sqref="N12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6" t="s">
        <v>1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</row>
    <row r="2" spans="1:24" ht="15">
      <c r="A2" s="96" t="s">
        <v>2</v>
      </c>
      <c r="B2" s="96"/>
      <c r="C2" s="96" t="s">
        <v>3</v>
      </c>
      <c r="D2" s="96"/>
      <c r="E2" s="96"/>
      <c r="F2" s="96" t="s">
        <v>4</v>
      </c>
      <c r="G2" s="96"/>
      <c r="H2" s="96"/>
      <c r="I2" s="96"/>
      <c r="J2" s="96"/>
      <c r="K2" s="96"/>
      <c r="L2" s="96"/>
      <c r="M2" s="96"/>
      <c r="N2" s="96" t="s">
        <v>5</v>
      </c>
      <c r="O2" s="96"/>
      <c r="P2" s="96"/>
      <c r="Q2" s="96" t="s">
        <v>6</v>
      </c>
      <c r="R2" s="96"/>
      <c r="S2" s="96"/>
      <c r="T2" s="96"/>
      <c r="U2" s="96"/>
      <c r="V2" s="96"/>
      <c r="W2" s="96" t="s">
        <v>7</v>
      </c>
      <c r="X2" s="149" t="s">
        <v>8</v>
      </c>
    </row>
    <row r="3" spans="1:24" ht="15">
      <c r="A3" s="97" t="s">
        <v>9</v>
      </c>
      <c r="B3" s="97" t="s">
        <v>10</v>
      </c>
      <c r="C3" s="97" t="s">
        <v>11</v>
      </c>
      <c r="D3" s="97" t="s">
        <v>12</v>
      </c>
      <c r="E3" s="97" t="s">
        <v>13</v>
      </c>
      <c r="F3" s="97" t="s">
        <v>14</v>
      </c>
      <c r="G3" s="97" t="s">
        <v>15</v>
      </c>
      <c r="H3" s="97" t="s">
        <v>16</v>
      </c>
      <c r="I3" s="97"/>
      <c r="J3" s="98" t="s">
        <v>17</v>
      </c>
      <c r="K3" s="98"/>
      <c r="L3" s="97" t="s">
        <v>18</v>
      </c>
      <c r="M3" s="97" t="s">
        <v>19</v>
      </c>
      <c r="N3" s="98" t="s">
        <v>20</v>
      </c>
      <c r="O3" s="98" t="s">
        <v>21</v>
      </c>
      <c r="P3" s="98" t="s">
        <v>22</v>
      </c>
      <c r="Q3" s="98" t="s">
        <v>23</v>
      </c>
      <c r="R3" s="98"/>
      <c r="S3" s="98" t="s">
        <v>24</v>
      </c>
      <c r="T3" s="98"/>
      <c r="U3" s="97" t="s">
        <v>25</v>
      </c>
      <c r="V3" s="98" t="s">
        <v>22</v>
      </c>
      <c r="W3" s="96"/>
      <c r="X3" s="149"/>
    </row>
    <row r="4" spans="1:24" ht="15">
      <c r="A4" s="97"/>
      <c r="B4" s="97"/>
      <c r="C4" s="97"/>
      <c r="D4" s="97"/>
      <c r="E4" s="97"/>
      <c r="F4" s="97"/>
      <c r="G4" s="97"/>
      <c r="H4" s="10" t="s">
        <v>26</v>
      </c>
      <c r="I4" s="10" t="s">
        <v>27</v>
      </c>
      <c r="J4" s="10" t="s">
        <v>26</v>
      </c>
      <c r="K4" s="11" t="s">
        <v>28</v>
      </c>
      <c r="L4" s="97"/>
      <c r="M4" s="97"/>
      <c r="N4" s="98"/>
      <c r="O4" s="98"/>
      <c r="P4" s="98"/>
      <c r="Q4" s="10" t="s">
        <v>29</v>
      </c>
      <c r="R4" s="11" t="s">
        <v>30</v>
      </c>
      <c r="S4" s="10" t="s">
        <v>29</v>
      </c>
      <c r="T4" s="11" t="s">
        <v>30</v>
      </c>
      <c r="U4" s="97"/>
      <c r="V4" s="98"/>
      <c r="W4" s="96"/>
      <c r="X4" s="150"/>
    </row>
    <row r="5" spans="1:24" ht="15">
      <c r="A5" s="94"/>
      <c r="B5" s="94"/>
      <c r="C5" s="94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5">
      <c r="A6" s="94"/>
      <c r="B6" s="94"/>
      <c r="C6" s="94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5">
      <c r="A7" s="94"/>
      <c r="B7" s="94"/>
      <c r="C7" s="94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5">
      <c r="A8" s="94"/>
      <c r="B8" s="94"/>
      <c r="C8" s="94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5">
      <c r="A9" s="164"/>
      <c r="B9" s="164"/>
      <c r="C9" s="164"/>
      <c r="D9" s="80"/>
      <c r="E9" s="81"/>
      <c r="F9" s="53"/>
      <c r="G9" s="79"/>
      <c r="H9" s="79"/>
      <c r="I9" s="79"/>
      <c r="J9" s="79"/>
      <c r="K9" s="79"/>
      <c r="L9" s="82"/>
      <c r="M9" s="82"/>
      <c r="N9" s="165"/>
      <c r="O9" s="165"/>
      <c r="P9" s="165"/>
      <c r="Q9" s="164"/>
      <c r="R9" s="70"/>
      <c r="S9" s="53"/>
      <c r="T9" s="70"/>
      <c r="U9" s="70"/>
      <c r="V9" s="70"/>
      <c r="W9" s="70"/>
      <c r="X9" s="164"/>
    </row>
    <row r="10" spans="1:24" ht="15">
      <c r="A10" s="164"/>
      <c r="B10" s="164"/>
      <c r="C10" s="164"/>
      <c r="D10" s="80"/>
      <c r="E10" s="81"/>
      <c r="F10" s="77"/>
      <c r="G10" s="79"/>
      <c r="H10" s="79"/>
      <c r="I10" s="79"/>
      <c r="J10" s="79"/>
      <c r="K10" s="79"/>
      <c r="L10" s="82"/>
      <c r="M10" s="82"/>
      <c r="N10" s="165"/>
      <c r="O10" s="165"/>
      <c r="P10" s="165"/>
      <c r="Q10" s="77"/>
      <c r="R10" s="70"/>
      <c r="S10" s="53"/>
      <c r="T10" s="70"/>
      <c r="U10" s="70"/>
      <c r="V10" s="70"/>
      <c r="W10" s="70"/>
      <c r="X10" s="77"/>
    </row>
    <row r="11" spans="1:24" ht="15">
      <c r="A11" s="164"/>
      <c r="B11" s="164"/>
      <c r="C11" s="164"/>
      <c r="D11" s="56"/>
      <c r="E11" s="20"/>
      <c r="F11" s="77"/>
      <c r="G11" s="79"/>
      <c r="H11" s="79"/>
      <c r="I11" s="79"/>
      <c r="J11" s="79"/>
      <c r="K11" s="79"/>
      <c r="L11" s="82"/>
      <c r="M11" s="82"/>
      <c r="N11" s="165"/>
      <c r="O11" s="165"/>
      <c r="P11" s="165"/>
      <c r="Q11" s="53"/>
      <c r="R11" s="70"/>
      <c r="S11" s="53"/>
      <c r="T11" s="70"/>
      <c r="U11" s="70"/>
      <c r="V11" s="70"/>
      <c r="W11" s="70"/>
      <c r="X11" s="53"/>
    </row>
    <row r="12" spans="1:24" ht="15">
      <c r="A12" s="94"/>
      <c r="B12" s="94"/>
      <c r="C12" s="94"/>
      <c r="D12" s="29"/>
      <c r="E12" s="20"/>
      <c r="F12" s="77"/>
      <c r="G12" s="53"/>
      <c r="H12" s="53"/>
      <c r="I12" s="53"/>
      <c r="J12" s="53"/>
      <c r="K12" s="53"/>
      <c r="L12" s="69"/>
      <c r="M12" s="69"/>
      <c r="N12" s="166"/>
      <c r="O12" s="166"/>
      <c r="P12" s="166"/>
      <c r="Q12" s="53"/>
      <c r="R12" s="70"/>
      <c r="S12" s="53"/>
      <c r="T12" s="70"/>
      <c r="U12" s="70"/>
      <c r="V12" s="70"/>
      <c r="W12" s="70"/>
      <c r="X12" s="53"/>
    </row>
    <row r="18" spans="17:17">
      <c r="Q18" s="83"/>
    </row>
    <row r="19" spans="17:17">
      <c r="Q19" s="83"/>
    </row>
    <row r="20" spans="17:17">
      <c r="Q20" s="83"/>
    </row>
    <row r="21" spans="17:17">
      <c r="Q21" s="8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X21"/>
  <sheetViews>
    <sheetView topLeftCell="C1" workbookViewId="0">
      <selection activeCell="N12" sqref="N12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6" t="s">
        <v>1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</row>
    <row r="2" spans="1:24" ht="15">
      <c r="A2" s="96" t="s">
        <v>2</v>
      </c>
      <c r="B2" s="96"/>
      <c r="C2" s="96" t="s">
        <v>3</v>
      </c>
      <c r="D2" s="96"/>
      <c r="E2" s="96"/>
      <c r="F2" s="96" t="s">
        <v>4</v>
      </c>
      <c r="G2" s="96"/>
      <c r="H2" s="96"/>
      <c r="I2" s="96"/>
      <c r="J2" s="96"/>
      <c r="K2" s="96"/>
      <c r="L2" s="96"/>
      <c r="M2" s="96"/>
      <c r="N2" s="96" t="s">
        <v>5</v>
      </c>
      <c r="O2" s="96"/>
      <c r="P2" s="96"/>
      <c r="Q2" s="96" t="s">
        <v>6</v>
      </c>
      <c r="R2" s="96"/>
      <c r="S2" s="96"/>
      <c r="T2" s="96"/>
      <c r="U2" s="96"/>
      <c r="V2" s="96"/>
      <c r="W2" s="96" t="s">
        <v>7</v>
      </c>
      <c r="X2" s="149" t="s">
        <v>8</v>
      </c>
    </row>
    <row r="3" spans="1:24" ht="15">
      <c r="A3" s="97" t="s">
        <v>9</v>
      </c>
      <c r="B3" s="97" t="s">
        <v>10</v>
      </c>
      <c r="C3" s="97" t="s">
        <v>11</v>
      </c>
      <c r="D3" s="97" t="s">
        <v>12</v>
      </c>
      <c r="E3" s="97" t="s">
        <v>13</v>
      </c>
      <c r="F3" s="97" t="s">
        <v>14</v>
      </c>
      <c r="G3" s="97" t="s">
        <v>15</v>
      </c>
      <c r="H3" s="97" t="s">
        <v>16</v>
      </c>
      <c r="I3" s="97"/>
      <c r="J3" s="98" t="s">
        <v>17</v>
      </c>
      <c r="K3" s="98"/>
      <c r="L3" s="97" t="s">
        <v>18</v>
      </c>
      <c r="M3" s="97" t="s">
        <v>19</v>
      </c>
      <c r="N3" s="98" t="s">
        <v>20</v>
      </c>
      <c r="O3" s="98" t="s">
        <v>21</v>
      </c>
      <c r="P3" s="98" t="s">
        <v>22</v>
      </c>
      <c r="Q3" s="98" t="s">
        <v>23</v>
      </c>
      <c r="R3" s="98"/>
      <c r="S3" s="98" t="s">
        <v>24</v>
      </c>
      <c r="T3" s="98"/>
      <c r="U3" s="97" t="s">
        <v>25</v>
      </c>
      <c r="V3" s="98" t="s">
        <v>22</v>
      </c>
      <c r="W3" s="96"/>
      <c r="X3" s="149"/>
    </row>
    <row r="4" spans="1:24" ht="15">
      <c r="A4" s="97"/>
      <c r="B4" s="97"/>
      <c r="C4" s="97"/>
      <c r="D4" s="97"/>
      <c r="E4" s="97"/>
      <c r="F4" s="97"/>
      <c r="G4" s="97"/>
      <c r="H4" s="10" t="s">
        <v>26</v>
      </c>
      <c r="I4" s="10" t="s">
        <v>27</v>
      </c>
      <c r="J4" s="10" t="s">
        <v>26</v>
      </c>
      <c r="K4" s="11" t="s">
        <v>28</v>
      </c>
      <c r="L4" s="97"/>
      <c r="M4" s="97"/>
      <c r="N4" s="98"/>
      <c r="O4" s="98"/>
      <c r="P4" s="98"/>
      <c r="Q4" s="10" t="s">
        <v>29</v>
      </c>
      <c r="R4" s="11" t="s">
        <v>30</v>
      </c>
      <c r="S4" s="10" t="s">
        <v>29</v>
      </c>
      <c r="T4" s="11" t="s">
        <v>30</v>
      </c>
      <c r="U4" s="97"/>
      <c r="V4" s="98"/>
      <c r="W4" s="96"/>
      <c r="X4" s="150"/>
    </row>
    <row r="5" spans="1:24" ht="15">
      <c r="A5" s="94"/>
      <c r="B5" s="94"/>
      <c r="C5" s="94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5">
      <c r="A6" s="94"/>
      <c r="B6" s="94"/>
      <c r="C6" s="94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5">
      <c r="A7" s="94"/>
      <c r="B7" s="94"/>
      <c r="C7" s="94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5">
      <c r="A8" s="94"/>
      <c r="B8" s="94"/>
      <c r="C8" s="94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5">
      <c r="A9" s="164"/>
      <c r="B9" s="164"/>
      <c r="C9" s="164"/>
      <c r="D9" s="80"/>
      <c r="E9" s="81"/>
      <c r="F9" s="53"/>
      <c r="G9" s="79"/>
      <c r="H9" s="79"/>
      <c r="I9" s="79"/>
      <c r="J9" s="79"/>
      <c r="K9" s="79"/>
      <c r="L9" s="82"/>
      <c r="M9" s="82"/>
      <c r="N9" s="165"/>
      <c r="O9" s="165"/>
      <c r="P9" s="165"/>
      <c r="Q9" s="164"/>
      <c r="R9" s="70"/>
      <c r="S9" s="53"/>
      <c r="T9" s="70"/>
      <c r="U9" s="70"/>
      <c r="V9" s="70"/>
      <c r="W9" s="70"/>
      <c r="X9" s="164"/>
    </row>
    <row r="10" spans="1:24" ht="15">
      <c r="A10" s="164"/>
      <c r="B10" s="164"/>
      <c r="C10" s="164"/>
      <c r="D10" s="80"/>
      <c r="E10" s="81"/>
      <c r="F10" s="77"/>
      <c r="G10" s="79"/>
      <c r="H10" s="79"/>
      <c r="I10" s="79"/>
      <c r="J10" s="79"/>
      <c r="K10" s="79"/>
      <c r="L10" s="82"/>
      <c r="M10" s="82"/>
      <c r="N10" s="165"/>
      <c r="O10" s="165"/>
      <c r="P10" s="165"/>
      <c r="Q10" s="77"/>
      <c r="R10" s="70"/>
      <c r="S10" s="53"/>
      <c r="T10" s="70"/>
      <c r="U10" s="70"/>
      <c r="V10" s="70"/>
      <c r="W10" s="70"/>
      <c r="X10" s="77"/>
    </row>
    <row r="11" spans="1:24" ht="15">
      <c r="A11" s="164"/>
      <c r="B11" s="164"/>
      <c r="C11" s="164"/>
      <c r="D11" s="56"/>
      <c r="E11" s="20"/>
      <c r="F11" s="77"/>
      <c r="G11" s="79"/>
      <c r="H11" s="79"/>
      <c r="I11" s="79"/>
      <c r="J11" s="79"/>
      <c r="K11" s="79"/>
      <c r="L11" s="82"/>
      <c r="M11" s="82"/>
      <c r="N11" s="165"/>
      <c r="O11" s="165"/>
      <c r="P11" s="165"/>
      <c r="Q11" s="53"/>
      <c r="R11" s="70"/>
      <c r="S11" s="53"/>
      <c r="T11" s="70"/>
      <c r="U11" s="70"/>
      <c r="V11" s="70"/>
      <c r="W11" s="70"/>
      <c r="X11" s="53"/>
    </row>
    <row r="12" spans="1:24" ht="15">
      <c r="A12" s="94"/>
      <c r="B12" s="94"/>
      <c r="C12" s="94"/>
      <c r="D12" s="29"/>
      <c r="E12" s="20"/>
      <c r="F12" s="77"/>
      <c r="G12" s="53"/>
      <c r="H12" s="53"/>
      <c r="I12" s="53"/>
      <c r="J12" s="53"/>
      <c r="K12" s="53"/>
      <c r="L12" s="69"/>
      <c r="M12" s="69"/>
      <c r="N12" s="166"/>
      <c r="O12" s="166"/>
      <c r="P12" s="166"/>
      <c r="Q12" s="53"/>
      <c r="R12" s="70"/>
      <c r="S12" s="53"/>
      <c r="T12" s="70"/>
      <c r="U12" s="70"/>
      <c r="V12" s="70"/>
      <c r="W12" s="70"/>
      <c r="X12" s="53"/>
    </row>
    <row r="18" spans="17:17">
      <c r="Q18" s="83"/>
    </row>
    <row r="19" spans="17:17">
      <c r="Q19" s="83"/>
    </row>
    <row r="20" spans="17:17">
      <c r="Q20" s="83"/>
    </row>
    <row r="21" spans="17:17">
      <c r="Q21" s="8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X21"/>
  <sheetViews>
    <sheetView workbookViewId="0">
      <selection activeCell="C32" sqref="C32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6" t="s">
        <v>1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</row>
    <row r="2" spans="1:24" ht="15">
      <c r="A2" s="96" t="s">
        <v>2</v>
      </c>
      <c r="B2" s="96"/>
      <c r="C2" s="96" t="s">
        <v>3</v>
      </c>
      <c r="D2" s="96"/>
      <c r="E2" s="96"/>
      <c r="F2" s="96" t="s">
        <v>4</v>
      </c>
      <c r="G2" s="96"/>
      <c r="H2" s="96"/>
      <c r="I2" s="96"/>
      <c r="J2" s="96"/>
      <c r="K2" s="96"/>
      <c r="L2" s="96"/>
      <c r="M2" s="96"/>
      <c r="N2" s="96" t="s">
        <v>5</v>
      </c>
      <c r="O2" s="96"/>
      <c r="P2" s="96"/>
      <c r="Q2" s="96" t="s">
        <v>6</v>
      </c>
      <c r="R2" s="96"/>
      <c r="S2" s="96"/>
      <c r="T2" s="96"/>
      <c r="U2" s="96"/>
      <c r="V2" s="96"/>
      <c r="W2" s="96" t="s">
        <v>7</v>
      </c>
      <c r="X2" s="149" t="s">
        <v>8</v>
      </c>
    </row>
    <row r="3" spans="1:24" ht="15">
      <c r="A3" s="97" t="s">
        <v>9</v>
      </c>
      <c r="B3" s="97" t="s">
        <v>10</v>
      </c>
      <c r="C3" s="97" t="s">
        <v>11</v>
      </c>
      <c r="D3" s="97" t="s">
        <v>12</v>
      </c>
      <c r="E3" s="97" t="s">
        <v>13</v>
      </c>
      <c r="F3" s="97" t="s">
        <v>14</v>
      </c>
      <c r="G3" s="97" t="s">
        <v>15</v>
      </c>
      <c r="H3" s="97" t="s">
        <v>16</v>
      </c>
      <c r="I3" s="97"/>
      <c r="J3" s="98" t="s">
        <v>17</v>
      </c>
      <c r="K3" s="98"/>
      <c r="L3" s="97" t="s">
        <v>18</v>
      </c>
      <c r="M3" s="97" t="s">
        <v>19</v>
      </c>
      <c r="N3" s="98" t="s">
        <v>20</v>
      </c>
      <c r="O3" s="98" t="s">
        <v>21</v>
      </c>
      <c r="P3" s="98" t="s">
        <v>22</v>
      </c>
      <c r="Q3" s="98" t="s">
        <v>23</v>
      </c>
      <c r="R3" s="98"/>
      <c r="S3" s="98" t="s">
        <v>24</v>
      </c>
      <c r="T3" s="98"/>
      <c r="U3" s="97" t="s">
        <v>25</v>
      </c>
      <c r="V3" s="98" t="s">
        <v>22</v>
      </c>
      <c r="W3" s="96"/>
      <c r="X3" s="149"/>
    </row>
    <row r="4" spans="1:24" ht="15">
      <c r="A4" s="97"/>
      <c r="B4" s="97"/>
      <c r="C4" s="97"/>
      <c r="D4" s="97"/>
      <c r="E4" s="97"/>
      <c r="F4" s="97"/>
      <c r="G4" s="97"/>
      <c r="H4" s="10" t="s">
        <v>26</v>
      </c>
      <c r="I4" s="10" t="s">
        <v>27</v>
      </c>
      <c r="J4" s="10" t="s">
        <v>26</v>
      </c>
      <c r="K4" s="11" t="s">
        <v>28</v>
      </c>
      <c r="L4" s="97"/>
      <c r="M4" s="97"/>
      <c r="N4" s="98"/>
      <c r="O4" s="98"/>
      <c r="P4" s="98"/>
      <c r="Q4" s="10" t="s">
        <v>29</v>
      </c>
      <c r="R4" s="11" t="s">
        <v>30</v>
      </c>
      <c r="S4" s="10" t="s">
        <v>29</v>
      </c>
      <c r="T4" s="11" t="s">
        <v>30</v>
      </c>
      <c r="U4" s="97"/>
      <c r="V4" s="98"/>
      <c r="W4" s="96"/>
      <c r="X4" s="150"/>
    </row>
    <row r="5" spans="1:24" ht="15">
      <c r="A5" s="94"/>
      <c r="B5" s="94"/>
      <c r="C5" s="94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5">
      <c r="A6" s="94"/>
      <c r="B6" s="94"/>
      <c r="C6" s="94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5">
      <c r="A7" s="94"/>
      <c r="B7" s="94"/>
      <c r="C7" s="94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5">
      <c r="A8" s="94"/>
      <c r="B8" s="94"/>
      <c r="C8" s="94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5">
      <c r="A9" s="164"/>
      <c r="B9" s="164"/>
      <c r="C9" s="164"/>
      <c r="D9" s="80"/>
      <c r="E9" s="81"/>
      <c r="F9" s="53"/>
      <c r="G9" s="79"/>
      <c r="H9" s="79"/>
      <c r="I9" s="79"/>
      <c r="J9" s="79"/>
      <c r="K9" s="79"/>
      <c r="L9" s="82"/>
      <c r="M9" s="82"/>
      <c r="N9" s="165"/>
      <c r="O9" s="165"/>
      <c r="P9" s="165"/>
      <c r="Q9" s="164"/>
      <c r="R9" s="70"/>
      <c r="S9" s="53"/>
      <c r="T9" s="70"/>
      <c r="U9" s="70"/>
      <c r="V9" s="70"/>
      <c r="W9" s="70"/>
      <c r="X9" s="164"/>
    </row>
    <row r="10" spans="1:24" ht="15">
      <c r="A10" s="164"/>
      <c r="B10" s="164"/>
      <c r="C10" s="164"/>
      <c r="D10" s="80"/>
      <c r="E10" s="81"/>
      <c r="F10" s="77"/>
      <c r="G10" s="79"/>
      <c r="H10" s="79"/>
      <c r="I10" s="79"/>
      <c r="J10" s="79"/>
      <c r="K10" s="79"/>
      <c r="L10" s="82"/>
      <c r="M10" s="82"/>
      <c r="N10" s="165"/>
      <c r="O10" s="165"/>
      <c r="P10" s="165"/>
      <c r="Q10" s="77"/>
      <c r="R10" s="70"/>
      <c r="S10" s="53"/>
      <c r="T10" s="70"/>
      <c r="U10" s="70"/>
      <c r="V10" s="70"/>
      <c r="W10" s="70"/>
      <c r="X10" s="77"/>
    </row>
    <row r="11" spans="1:24" ht="15">
      <c r="A11" s="164"/>
      <c r="B11" s="164"/>
      <c r="C11" s="164"/>
      <c r="D11" s="56"/>
      <c r="E11" s="20"/>
      <c r="F11" s="77"/>
      <c r="G11" s="79"/>
      <c r="H11" s="79"/>
      <c r="I11" s="79"/>
      <c r="J11" s="79"/>
      <c r="K11" s="79"/>
      <c r="L11" s="82"/>
      <c r="M11" s="82"/>
      <c r="N11" s="165"/>
      <c r="O11" s="165"/>
      <c r="P11" s="165"/>
      <c r="Q11" s="53"/>
      <c r="R11" s="70"/>
      <c r="S11" s="53"/>
      <c r="T11" s="70"/>
      <c r="U11" s="70"/>
      <c r="V11" s="70"/>
      <c r="W11" s="70"/>
      <c r="X11" s="53"/>
    </row>
    <row r="12" spans="1:24" ht="15">
      <c r="A12" s="94"/>
      <c r="B12" s="94"/>
      <c r="C12" s="94"/>
      <c r="D12" s="29"/>
      <c r="E12" s="20"/>
      <c r="F12" s="77"/>
      <c r="G12" s="53"/>
      <c r="H12" s="53"/>
      <c r="I12" s="53"/>
      <c r="J12" s="53"/>
      <c r="K12" s="53"/>
      <c r="L12" s="69"/>
      <c r="M12" s="69"/>
      <c r="N12" s="166"/>
      <c r="O12" s="166"/>
      <c r="P12" s="166"/>
      <c r="Q12" s="53"/>
      <c r="R12" s="70"/>
      <c r="S12" s="53"/>
      <c r="T12" s="70"/>
      <c r="U12" s="70"/>
      <c r="V12" s="70"/>
      <c r="W12" s="70"/>
      <c r="X12" s="53"/>
    </row>
    <row r="18" spans="17:17">
      <c r="Q18" s="83"/>
    </row>
    <row r="19" spans="17:17">
      <c r="Q19" s="83"/>
    </row>
    <row r="20" spans="17:17">
      <c r="Q20" s="83"/>
    </row>
    <row r="21" spans="17:17">
      <c r="Q21" s="8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X21"/>
  <sheetViews>
    <sheetView topLeftCell="E1" workbookViewId="0">
      <selection activeCell="W40" sqref="W40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6" t="s">
        <v>1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</row>
    <row r="2" spans="1:24" ht="15">
      <c r="A2" s="96" t="s">
        <v>2</v>
      </c>
      <c r="B2" s="96"/>
      <c r="C2" s="96" t="s">
        <v>3</v>
      </c>
      <c r="D2" s="96"/>
      <c r="E2" s="96"/>
      <c r="F2" s="96" t="s">
        <v>4</v>
      </c>
      <c r="G2" s="96"/>
      <c r="H2" s="96"/>
      <c r="I2" s="96"/>
      <c r="J2" s="96"/>
      <c r="K2" s="96"/>
      <c r="L2" s="96"/>
      <c r="M2" s="96"/>
      <c r="N2" s="96" t="s">
        <v>5</v>
      </c>
      <c r="O2" s="96"/>
      <c r="P2" s="96"/>
      <c r="Q2" s="96" t="s">
        <v>6</v>
      </c>
      <c r="R2" s="96"/>
      <c r="S2" s="96"/>
      <c r="T2" s="96"/>
      <c r="U2" s="96"/>
      <c r="V2" s="96"/>
      <c r="W2" s="96" t="s">
        <v>7</v>
      </c>
      <c r="X2" s="149" t="s">
        <v>8</v>
      </c>
    </row>
    <row r="3" spans="1:24" ht="15">
      <c r="A3" s="97" t="s">
        <v>9</v>
      </c>
      <c r="B3" s="97" t="s">
        <v>10</v>
      </c>
      <c r="C3" s="97" t="s">
        <v>11</v>
      </c>
      <c r="D3" s="97" t="s">
        <v>12</v>
      </c>
      <c r="E3" s="97" t="s">
        <v>13</v>
      </c>
      <c r="F3" s="97" t="s">
        <v>14</v>
      </c>
      <c r="G3" s="97" t="s">
        <v>15</v>
      </c>
      <c r="H3" s="97" t="s">
        <v>16</v>
      </c>
      <c r="I3" s="97"/>
      <c r="J3" s="98" t="s">
        <v>17</v>
      </c>
      <c r="K3" s="98"/>
      <c r="L3" s="97" t="s">
        <v>18</v>
      </c>
      <c r="M3" s="97" t="s">
        <v>19</v>
      </c>
      <c r="N3" s="98" t="s">
        <v>20</v>
      </c>
      <c r="O3" s="98" t="s">
        <v>21</v>
      </c>
      <c r="P3" s="98" t="s">
        <v>22</v>
      </c>
      <c r="Q3" s="98" t="s">
        <v>23</v>
      </c>
      <c r="R3" s="98"/>
      <c r="S3" s="98" t="s">
        <v>24</v>
      </c>
      <c r="T3" s="98"/>
      <c r="U3" s="97" t="s">
        <v>25</v>
      </c>
      <c r="V3" s="98" t="s">
        <v>22</v>
      </c>
      <c r="W3" s="96"/>
      <c r="X3" s="149"/>
    </row>
    <row r="4" spans="1:24" ht="15">
      <c r="A4" s="97"/>
      <c r="B4" s="97"/>
      <c r="C4" s="97"/>
      <c r="D4" s="97"/>
      <c r="E4" s="97"/>
      <c r="F4" s="97"/>
      <c r="G4" s="97"/>
      <c r="H4" s="10" t="s">
        <v>26</v>
      </c>
      <c r="I4" s="10" t="s">
        <v>27</v>
      </c>
      <c r="J4" s="10" t="s">
        <v>26</v>
      </c>
      <c r="K4" s="11" t="s">
        <v>28</v>
      </c>
      <c r="L4" s="97"/>
      <c r="M4" s="97"/>
      <c r="N4" s="98"/>
      <c r="O4" s="98"/>
      <c r="P4" s="98"/>
      <c r="Q4" s="10" t="s">
        <v>29</v>
      </c>
      <c r="R4" s="11" t="s">
        <v>30</v>
      </c>
      <c r="S4" s="10" t="s">
        <v>29</v>
      </c>
      <c r="T4" s="11" t="s">
        <v>30</v>
      </c>
      <c r="U4" s="97"/>
      <c r="V4" s="98"/>
      <c r="W4" s="96"/>
      <c r="X4" s="150"/>
    </row>
    <row r="5" spans="1:24" ht="15">
      <c r="A5" s="94"/>
      <c r="B5" s="94"/>
      <c r="C5" s="94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5">
      <c r="A6" s="94"/>
      <c r="B6" s="94"/>
      <c r="C6" s="94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5">
      <c r="A7" s="94"/>
      <c r="B7" s="94"/>
      <c r="C7" s="94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5">
      <c r="A8" s="94"/>
      <c r="B8" s="94"/>
      <c r="C8" s="94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5">
      <c r="A9" s="164"/>
      <c r="B9" s="164"/>
      <c r="C9" s="164"/>
      <c r="D9" s="80"/>
      <c r="E9" s="81"/>
      <c r="F9" s="53"/>
      <c r="G9" s="79"/>
      <c r="H9" s="79"/>
      <c r="I9" s="79"/>
      <c r="J9" s="79"/>
      <c r="K9" s="79"/>
      <c r="L9" s="82"/>
      <c r="M9" s="82"/>
      <c r="N9" s="165"/>
      <c r="O9" s="165"/>
      <c r="P9" s="165"/>
      <c r="Q9" s="164"/>
      <c r="R9" s="70"/>
      <c r="S9" s="53"/>
      <c r="T9" s="70"/>
      <c r="U9" s="70"/>
      <c r="V9" s="70"/>
      <c r="W9" s="70"/>
      <c r="X9" s="164"/>
    </row>
    <row r="10" spans="1:24" ht="15">
      <c r="A10" s="164"/>
      <c r="B10" s="164"/>
      <c r="C10" s="164"/>
      <c r="D10" s="80"/>
      <c r="E10" s="81"/>
      <c r="F10" s="77"/>
      <c r="G10" s="79"/>
      <c r="H10" s="79"/>
      <c r="I10" s="79"/>
      <c r="J10" s="79"/>
      <c r="K10" s="79"/>
      <c r="L10" s="82"/>
      <c r="M10" s="82"/>
      <c r="N10" s="165"/>
      <c r="O10" s="165"/>
      <c r="P10" s="165"/>
      <c r="Q10" s="77"/>
      <c r="R10" s="70"/>
      <c r="S10" s="53"/>
      <c r="T10" s="70"/>
      <c r="U10" s="70"/>
      <c r="V10" s="70"/>
      <c r="W10" s="70"/>
      <c r="X10" s="77"/>
    </row>
    <row r="11" spans="1:24" ht="15">
      <c r="A11" s="164"/>
      <c r="B11" s="164"/>
      <c r="C11" s="164"/>
      <c r="D11" s="56"/>
      <c r="E11" s="20"/>
      <c r="F11" s="77"/>
      <c r="G11" s="79"/>
      <c r="H11" s="79"/>
      <c r="I11" s="79"/>
      <c r="J11" s="79"/>
      <c r="K11" s="79"/>
      <c r="L11" s="82"/>
      <c r="M11" s="82"/>
      <c r="N11" s="165"/>
      <c r="O11" s="165"/>
      <c r="P11" s="165"/>
      <c r="Q11" s="53"/>
      <c r="R11" s="70"/>
      <c r="S11" s="53"/>
      <c r="T11" s="70"/>
      <c r="U11" s="70"/>
      <c r="V11" s="70"/>
      <c r="W11" s="70"/>
      <c r="X11" s="53"/>
    </row>
    <row r="12" spans="1:24" ht="15">
      <c r="A12" s="94"/>
      <c r="B12" s="94"/>
      <c r="C12" s="94"/>
      <c r="D12" s="29"/>
      <c r="E12" s="20"/>
      <c r="F12" s="77"/>
      <c r="G12" s="53"/>
      <c r="H12" s="53"/>
      <c r="I12" s="53"/>
      <c r="J12" s="53"/>
      <c r="K12" s="53"/>
      <c r="L12" s="69"/>
      <c r="M12" s="69"/>
      <c r="N12" s="166"/>
      <c r="O12" s="166"/>
      <c r="P12" s="166"/>
      <c r="Q12" s="53"/>
      <c r="R12" s="70"/>
      <c r="S12" s="53"/>
      <c r="T12" s="70"/>
      <c r="U12" s="70"/>
      <c r="V12" s="70"/>
      <c r="W12" s="70"/>
      <c r="X12" s="53"/>
    </row>
    <row r="18" spans="17:17">
      <c r="Q18" s="83"/>
    </row>
    <row r="19" spans="17:17">
      <c r="Q19" s="83"/>
    </row>
    <row r="20" spans="17:17">
      <c r="Q20" s="83"/>
    </row>
    <row r="21" spans="17:17">
      <c r="Q21" s="8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X21"/>
  <sheetViews>
    <sheetView workbookViewId="0">
      <selection activeCell="C8" sqref="C8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6" t="s">
        <v>1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</row>
    <row r="2" spans="1:24" ht="15">
      <c r="A2" s="96" t="s">
        <v>2</v>
      </c>
      <c r="B2" s="96"/>
      <c r="C2" s="96" t="s">
        <v>3</v>
      </c>
      <c r="D2" s="96"/>
      <c r="E2" s="96"/>
      <c r="F2" s="96" t="s">
        <v>4</v>
      </c>
      <c r="G2" s="96"/>
      <c r="H2" s="96"/>
      <c r="I2" s="96"/>
      <c r="J2" s="96"/>
      <c r="K2" s="96"/>
      <c r="L2" s="96"/>
      <c r="M2" s="96"/>
      <c r="N2" s="96" t="s">
        <v>5</v>
      </c>
      <c r="O2" s="96"/>
      <c r="P2" s="96"/>
      <c r="Q2" s="96" t="s">
        <v>6</v>
      </c>
      <c r="R2" s="96"/>
      <c r="S2" s="96"/>
      <c r="T2" s="96"/>
      <c r="U2" s="96"/>
      <c r="V2" s="96"/>
      <c r="W2" s="96" t="s">
        <v>7</v>
      </c>
      <c r="X2" s="149" t="s">
        <v>8</v>
      </c>
    </row>
    <row r="3" spans="1:24" ht="15">
      <c r="A3" s="97" t="s">
        <v>9</v>
      </c>
      <c r="B3" s="97" t="s">
        <v>10</v>
      </c>
      <c r="C3" s="97" t="s">
        <v>11</v>
      </c>
      <c r="D3" s="97" t="s">
        <v>12</v>
      </c>
      <c r="E3" s="97" t="s">
        <v>13</v>
      </c>
      <c r="F3" s="97" t="s">
        <v>14</v>
      </c>
      <c r="G3" s="97" t="s">
        <v>15</v>
      </c>
      <c r="H3" s="97" t="s">
        <v>16</v>
      </c>
      <c r="I3" s="97"/>
      <c r="J3" s="98" t="s">
        <v>17</v>
      </c>
      <c r="K3" s="98"/>
      <c r="L3" s="97" t="s">
        <v>18</v>
      </c>
      <c r="M3" s="97" t="s">
        <v>19</v>
      </c>
      <c r="N3" s="98" t="s">
        <v>20</v>
      </c>
      <c r="O3" s="98" t="s">
        <v>21</v>
      </c>
      <c r="P3" s="98" t="s">
        <v>22</v>
      </c>
      <c r="Q3" s="98" t="s">
        <v>23</v>
      </c>
      <c r="R3" s="98"/>
      <c r="S3" s="98" t="s">
        <v>24</v>
      </c>
      <c r="T3" s="98"/>
      <c r="U3" s="97" t="s">
        <v>25</v>
      </c>
      <c r="V3" s="98" t="s">
        <v>22</v>
      </c>
      <c r="W3" s="96"/>
      <c r="X3" s="149"/>
    </row>
    <row r="4" spans="1:24" ht="15">
      <c r="A4" s="97"/>
      <c r="B4" s="97"/>
      <c r="C4" s="97"/>
      <c r="D4" s="97"/>
      <c r="E4" s="97"/>
      <c r="F4" s="97"/>
      <c r="G4" s="97"/>
      <c r="H4" s="10" t="s">
        <v>26</v>
      </c>
      <c r="I4" s="10" t="s">
        <v>27</v>
      </c>
      <c r="J4" s="10" t="s">
        <v>26</v>
      </c>
      <c r="K4" s="11" t="s">
        <v>28</v>
      </c>
      <c r="L4" s="97"/>
      <c r="M4" s="97"/>
      <c r="N4" s="98"/>
      <c r="O4" s="98"/>
      <c r="P4" s="98"/>
      <c r="Q4" s="10" t="s">
        <v>29</v>
      </c>
      <c r="R4" s="11" t="s">
        <v>30</v>
      </c>
      <c r="S4" s="10" t="s">
        <v>29</v>
      </c>
      <c r="T4" s="11" t="s">
        <v>30</v>
      </c>
      <c r="U4" s="97"/>
      <c r="V4" s="98"/>
      <c r="W4" s="96"/>
      <c r="X4" s="150"/>
    </row>
    <row r="5" spans="1:24" ht="15">
      <c r="A5" s="94"/>
      <c r="B5" s="94"/>
      <c r="C5" s="94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5">
      <c r="A6" s="94"/>
      <c r="B6" s="94"/>
      <c r="C6" s="94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5">
      <c r="A7" s="94"/>
      <c r="B7" s="94"/>
      <c r="C7" s="94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5">
      <c r="A8" s="94"/>
      <c r="B8" s="94"/>
      <c r="C8" s="94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5">
      <c r="A9" s="164"/>
      <c r="B9" s="164"/>
      <c r="C9" s="164"/>
      <c r="D9" s="80"/>
      <c r="E9" s="81"/>
      <c r="F9" s="53"/>
      <c r="G9" s="79"/>
      <c r="H9" s="79"/>
      <c r="I9" s="79"/>
      <c r="J9" s="79"/>
      <c r="K9" s="79"/>
      <c r="L9" s="82"/>
      <c r="M9" s="82"/>
      <c r="N9" s="165"/>
      <c r="O9" s="165"/>
      <c r="P9" s="165"/>
      <c r="Q9" s="164"/>
      <c r="R9" s="70"/>
      <c r="S9" s="53"/>
      <c r="T9" s="70"/>
      <c r="U9" s="70"/>
      <c r="V9" s="70"/>
      <c r="W9" s="70"/>
      <c r="X9" s="164"/>
    </row>
    <row r="10" spans="1:24" ht="15">
      <c r="A10" s="164"/>
      <c r="B10" s="164"/>
      <c r="C10" s="164"/>
      <c r="D10" s="80"/>
      <c r="E10" s="81"/>
      <c r="F10" s="77"/>
      <c r="G10" s="79"/>
      <c r="H10" s="79"/>
      <c r="I10" s="79"/>
      <c r="J10" s="79"/>
      <c r="K10" s="79"/>
      <c r="L10" s="82"/>
      <c r="M10" s="82"/>
      <c r="N10" s="165"/>
      <c r="O10" s="165"/>
      <c r="P10" s="165"/>
      <c r="Q10" s="77"/>
      <c r="R10" s="70"/>
      <c r="S10" s="53"/>
      <c r="T10" s="70"/>
      <c r="U10" s="70"/>
      <c r="V10" s="70"/>
      <c r="W10" s="70"/>
      <c r="X10" s="77"/>
    </row>
    <row r="11" spans="1:24" ht="15">
      <c r="A11" s="164"/>
      <c r="B11" s="164"/>
      <c r="C11" s="164"/>
      <c r="D11" s="56"/>
      <c r="E11" s="20"/>
      <c r="F11" s="77"/>
      <c r="G11" s="79"/>
      <c r="H11" s="79"/>
      <c r="I11" s="79"/>
      <c r="J11" s="79"/>
      <c r="K11" s="79"/>
      <c r="L11" s="82"/>
      <c r="M11" s="82"/>
      <c r="N11" s="165"/>
      <c r="O11" s="165"/>
      <c r="P11" s="165"/>
      <c r="Q11" s="53"/>
      <c r="R11" s="70"/>
      <c r="S11" s="53"/>
      <c r="T11" s="70"/>
      <c r="U11" s="70"/>
      <c r="V11" s="70"/>
      <c r="W11" s="70"/>
      <c r="X11" s="53"/>
    </row>
    <row r="12" spans="1:24" ht="15">
      <c r="A12" s="94"/>
      <c r="B12" s="94"/>
      <c r="C12" s="94"/>
      <c r="D12" s="29"/>
      <c r="E12" s="20"/>
      <c r="F12" s="77"/>
      <c r="G12" s="53"/>
      <c r="H12" s="53"/>
      <c r="I12" s="53"/>
      <c r="J12" s="53"/>
      <c r="K12" s="53"/>
      <c r="L12" s="69"/>
      <c r="M12" s="69"/>
      <c r="N12" s="166"/>
      <c r="O12" s="166"/>
      <c r="P12" s="166"/>
      <c r="Q12" s="53"/>
      <c r="R12" s="70"/>
      <c r="S12" s="53"/>
      <c r="T12" s="70"/>
      <c r="U12" s="70"/>
      <c r="V12" s="70"/>
      <c r="W12" s="70"/>
      <c r="X12" s="53"/>
    </row>
    <row r="18" spans="17:17">
      <c r="Q18" s="83"/>
    </row>
    <row r="19" spans="17:17">
      <c r="Q19" s="83"/>
    </row>
    <row r="20" spans="17:17">
      <c r="Q20" s="83"/>
    </row>
    <row r="21" spans="17:17">
      <c r="Q21" s="8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X15"/>
  <sheetViews>
    <sheetView workbookViewId="0">
      <selection activeCell="A6" sqref="A6:B6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6" t="s">
        <v>1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</row>
    <row r="2" spans="1:24" ht="15">
      <c r="A2" s="96" t="s">
        <v>2</v>
      </c>
      <c r="B2" s="96"/>
      <c r="C2" s="96" t="s">
        <v>3</v>
      </c>
      <c r="D2" s="96"/>
      <c r="E2" s="96"/>
      <c r="F2" s="96" t="s">
        <v>4</v>
      </c>
      <c r="G2" s="96"/>
      <c r="H2" s="96"/>
      <c r="I2" s="96"/>
      <c r="J2" s="96"/>
      <c r="K2" s="96"/>
      <c r="L2" s="96"/>
      <c r="M2" s="96"/>
      <c r="N2" s="96" t="s">
        <v>5</v>
      </c>
      <c r="O2" s="96"/>
      <c r="P2" s="96"/>
      <c r="Q2" s="96" t="s">
        <v>6</v>
      </c>
      <c r="R2" s="96"/>
      <c r="S2" s="96"/>
      <c r="T2" s="96"/>
      <c r="U2" s="96"/>
      <c r="V2" s="96"/>
      <c r="W2" s="96" t="s">
        <v>7</v>
      </c>
      <c r="X2" s="149" t="s">
        <v>8</v>
      </c>
    </row>
    <row r="3" spans="1:24" ht="15">
      <c r="A3" s="97" t="s">
        <v>9</v>
      </c>
      <c r="B3" s="97" t="s">
        <v>10</v>
      </c>
      <c r="C3" s="97" t="s">
        <v>11</v>
      </c>
      <c r="D3" s="97" t="s">
        <v>12</v>
      </c>
      <c r="E3" s="97" t="s">
        <v>13</v>
      </c>
      <c r="F3" s="97" t="s">
        <v>14</v>
      </c>
      <c r="G3" s="97" t="s">
        <v>15</v>
      </c>
      <c r="H3" s="97" t="s">
        <v>16</v>
      </c>
      <c r="I3" s="97"/>
      <c r="J3" s="98" t="s">
        <v>17</v>
      </c>
      <c r="K3" s="98"/>
      <c r="L3" s="97" t="s">
        <v>18</v>
      </c>
      <c r="M3" s="97" t="s">
        <v>19</v>
      </c>
      <c r="N3" s="98" t="s">
        <v>20</v>
      </c>
      <c r="O3" s="98" t="s">
        <v>21</v>
      </c>
      <c r="P3" s="98" t="s">
        <v>22</v>
      </c>
      <c r="Q3" s="98" t="s">
        <v>23</v>
      </c>
      <c r="R3" s="98"/>
      <c r="S3" s="98" t="s">
        <v>24</v>
      </c>
      <c r="T3" s="98"/>
      <c r="U3" s="97" t="s">
        <v>25</v>
      </c>
      <c r="V3" s="98" t="s">
        <v>22</v>
      </c>
      <c r="W3" s="96"/>
      <c r="X3" s="149"/>
    </row>
    <row r="4" spans="1:24" ht="15">
      <c r="A4" s="97"/>
      <c r="B4" s="97"/>
      <c r="C4" s="97"/>
      <c r="D4" s="97"/>
      <c r="E4" s="97"/>
      <c r="F4" s="97"/>
      <c r="G4" s="97"/>
      <c r="H4" s="10" t="s">
        <v>26</v>
      </c>
      <c r="I4" s="10" t="s">
        <v>27</v>
      </c>
      <c r="J4" s="10" t="s">
        <v>26</v>
      </c>
      <c r="K4" s="11" t="s">
        <v>28</v>
      </c>
      <c r="L4" s="97"/>
      <c r="M4" s="97"/>
      <c r="N4" s="98"/>
      <c r="O4" s="98"/>
      <c r="P4" s="98"/>
      <c r="Q4" s="10" t="s">
        <v>29</v>
      </c>
      <c r="R4" s="11" t="s">
        <v>30</v>
      </c>
      <c r="S4" s="10" t="s">
        <v>29</v>
      </c>
      <c r="T4" s="11" t="s">
        <v>30</v>
      </c>
      <c r="U4" s="97"/>
      <c r="V4" s="98"/>
      <c r="W4" s="96"/>
      <c r="X4" s="150"/>
    </row>
    <row r="5" spans="1:24" ht="51">
      <c r="A5" s="94" t="s">
        <v>371</v>
      </c>
      <c r="B5" s="94" t="s">
        <v>396</v>
      </c>
      <c r="C5" s="94" t="s">
        <v>267</v>
      </c>
      <c r="D5" s="29" t="s">
        <v>572</v>
      </c>
      <c r="E5" s="20" t="s">
        <v>157</v>
      </c>
      <c r="F5" s="53" t="s">
        <v>573</v>
      </c>
      <c r="G5" s="53" t="s">
        <v>36</v>
      </c>
      <c r="H5" s="53" t="s">
        <v>37</v>
      </c>
      <c r="I5" s="53" t="s">
        <v>38</v>
      </c>
      <c r="J5" s="53" t="s">
        <v>37</v>
      </c>
      <c r="K5" s="53" t="s">
        <v>391</v>
      </c>
      <c r="L5" s="69">
        <v>44108</v>
      </c>
      <c r="M5" s="69">
        <v>44111</v>
      </c>
      <c r="N5" s="70">
        <f>1523.51/2</f>
        <v>761.755</v>
      </c>
      <c r="O5" s="70">
        <f>1523.51/2</f>
        <v>761.755</v>
      </c>
      <c r="P5" s="70">
        <f>SUM(N5:O5)</f>
        <v>1523.51</v>
      </c>
      <c r="Q5" s="53">
        <v>4</v>
      </c>
      <c r="R5" s="70">
        <v>120</v>
      </c>
      <c r="S5" s="53">
        <v>0</v>
      </c>
      <c r="T5" s="70">
        <v>0</v>
      </c>
      <c r="U5" s="70">
        <f t="shared" ref="U5:U6" si="0">(Q5*R5)+(S5*T5)</f>
        <v>480</v>
      </c>
      <c r="V5" s="70">
        <f>U5+P5</f>
        <v>2003.51</v>
      </c>
      <c r="W5" s="70">
        <f>V5</f>
        <v>2003.51</v>
      </c>
      <c r="X5" s="53"/>
    </row>
    <row r="6" spans="1:24" ht="25.5">
      <c r="A6" s="94" t="s">
        <v>253</v>
      </c>
      <c r="B6" s="94" t="s">
        <v>259</v>
      </c>
      <c r="C6" s="94" t="s">
        <v>320</v>
      </c>
      <c r="D6" s="56" t="s">
        <v>321</v>
      </c>
      <c r="E6" s="20" t="s">
        <v>343</v>
      </c>
      <c r="F6" s="53" t="s">
        <v>574</v>
      </c>
      <c r="G6" s="53" t="s">
        <v>36</v>
      </c>
      <c r="H6" s="53" t="s">
        <v>37</v>
      </c>
      <c r="I6" s="53" t="s">
        <v>38</v>
      </c>
      <c r="J6" s="53" t="s">
        <v>37</v>
      </c>
      <c r="K6" s="53" t="s">
        <v>391</v>
      </c>
      <c r="L6" s="69">
        <v>44129</v>
      </c>
      <c r="M6" s="69">
        <v>44131</v>
      </c>
      <c r="N6" s="70">
        <f>2030.41/2</f>
        <v>1015.205</v>
      </c>
      <c r="O6" s="70">
        <f>2030.41/2</f>
        <v>1015.205</v>
      </c>
      <c r="P6" s="70">
        <f t="shared" ref="P6" si="1">SUM(N6:O6)</f>
        <v>2030.41</v>
      </c>
      <c r="Q6" s="53">
        <v>3</v>
      </c>
      <c r="R6" s="70">
        <v>120</v>
      </c>
      <c r="S6" s="53"/>
      <c r="T6" s="70"/>
      <c r="U6" s="70">
        <f t="shared" si="0"/>
        <v>360</v>
      </c>
      <c r="V6" s="70">
        <f>U6+P6</f>
        <v>2390.41</v>
      </c>
      <c r="W6" s="70">
        <f>V6</f>
        <v>2390.41</v>
      </c>
      <c r="X6" s="53"/>
    </row>
    <row r="12" spans="1:24">
      <c r="Q12" s="83"/>
    </row>
    <row r="13" spans="1:24">
      <c r="Q13" s="83"/>
    </row>
    <row r="14" spans="1:24">
      <c r="Q14" s="83"/>
    </row>
    <row r="15" spans="1:24">
      <c r="Q15" s="8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X14"/>
  <sheetViews>
    <sheetView workbookViewId="0">
      <selection activeCell="B5" sqref="B5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6" t="s">
        <v>1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</row>
    <row r="2" spans="1:24" ht="15">
      <c r="A2" s="96" t="s">
        <v>2</v>
      </c>
      <c r="B2" s="96"/>
      <c r="C2" s="96" t="s">
        <v>3</v>
      </c>
      <c r="D2" s="96"/>
      <c r="E2" s="96"/>
      <c r="F2" s="96" t="s">
        <v>4</v>
      </c>
      <c r="G2" s="96"/>
      <c r="H2" s="96"/>
      <c r="I2" s="96"/>
      <c r="J2" s="96"/>
      <c r="K2" s="96"/>
      <c r="L2" s="96"/>
      <c r="M2" s="96"/>
      <c r="N2" s="96" t="s">
        <v>5</v>
      </c>
      <c r="O2" s="96"/>
      <c r="P2" s="96"/>
      <c r="Q2" s="96" t="s">
        <v>6</v>
      </c>
      <c r="R2" s="96"/>
      <c r="S2" s="96"/>
      <c r="T2" s="96"/>
      <c r="U2" s="96"/>
      <c r="V2" s="96"/>
      <c r="W2" s="96" t="s">
        <v>7</v>
      </c>
      <c r="X2" s="149" t="s">
        <v>8</v>
      </c>
    </row>
    <row r="3" spans="1:24" ht="15">
      <c r="A3" s="97" t="s">
        <v>9</v>
      </c>
      <c r="B3" s="97" t="s">
        <v>10</v>
      </c>
      <c r="C3" s="97" t="s">
        <v>11</v>
      </c>
      <c r="D3" s="97" t="s">
        <v>12</v>
      </c>
      <c r="E3" s="97" t="s">
        <v>13</v>
      </c>
      <c r="F3" s="97" t="s">
        <v>14</v>
      </c>
      <c r="G3" s="97" t="s">
        <v>15</v>
      </c>
      <c r="H3" s="97" t="s">
        <v>16</v>
      </c>
      <c r="I3" s="97"/>
      <c r="J3" s="98" t="s">
        <v>17</v>
      </c>
      <c r="K3" s="98"/>
      <c r="L3" s="97" t="s">
        <v>18</v>
      </c>
      <c r="M3" s="97" t="s">
        <v>19</v>
      </c>
      <c r="N3" s="98" t="s">
        <v>20</v>
      </c>
      <c r="O3" s="98" t="s">
        <v>21</v>
      </c>
      <c r="P3" s="98" t="s">
        <v>22</v>
      </c>
      <c r="Q3" s="98" t="s">
        <v>23</v>
      </c>
      <c r="R3" s="98"/>
      <c r="S3" s="98" t="s">
        <v>24</v>
      </c>
      <c r="T3" s="98"/>
      <c r="U3" s="97" t="s">
        <v>25</v>
      </c>
      <c r="V3" s="98" t="s">
        <v>22</v>
      </c>
      <c r="W3" s="96"/>
      <c r="X3" s="149"/>
    </row>
    <row r="4" spans="1:24" ht="15">
      <c r="A4" s="97"/>
      <c r="B4" s="97"/>
      <c r="C4" s="97"/>
      <c r="D4" s="97"/>
      <c r="E4" s="97"/>
      <c r="F4" s="97"/>
      <c r="G4" s="97"/>
      <c r="H4" s="10" t="s">
        <v>26</v>
      </c>
      <c r="I4" s="10" t="s">
        <v>27</v>
      </c>
      <c r="J4" s="10" t="s">
        <v>26</v>
      </c>
      <c r="K4" s="11" t="s">
        <v>28</v>
      </c>
      <c r="L4" s="97"/>
      <c r="M4" s="97"/>
      <c r="N4" s="98"/>
      <c r="O4" s="98"/>
      <c r="P4" s="98"/>
      <c r="Q4" s="10" t="s">
        <v>29</v>
      </c>
      <c r="R4" s="11" t="s">
        <v>30</v>
      </c>
      <c r="S4" s="10" t="s">
        <v>29</v>
      </c>
      <c r="T4" s="11" t="s">
        <v>30</v>
      </c>
      <c r="U4" s="97"/>
      <c r="V4" s="98"/>
      <c r="W4" s="96"/>
      <c r="X4" s="150"/>
    </row>
    <row r="5" spans="1:24" ht="25.5">
      <c r="A5" s="94" t="s">
        <v>253</v>
      </c>
      <c r="B5" s="94" t="s">
        <v>212</v>
      </c>
      <c r="C5" s="94" t="s">
        <v>539</v>
      </c>
      <c r="D5" s="56" t="s">
        <v>540</v>
      </c>
      <c r="E5" s="20" t="s">
        <v>541</v>
      </c>
      <c r="F5" s="53" t="s">
        <v>575</v>
      </c>
      <c r="G5" s="53" t="s">
        <v>36</v>
      </c>
      <c r="H5" s="53" t="s">
        <v>37</v>
      </c>
      <c r="I5" s="53" t="s">
        <v>38</v>
      </c>
      <c r="J5" s="53" t="s">
        <v>37</v>
      </c>
      <c r="K5" s="53" t="s">
        <v>391</v>
      </c>
      <c r="L5" s="69">
        <v>44145</v>
      </c>
      <c r="M5" s="69">
        <v>44148</v>
      </c>
      <c r="N5" s="70">
        <f>3030.33/2</f>
        <v>1515.165</v>
      </c>
      <c r="O5" s="70">
        <f>3030.33/2</f>
        <v>1515.165</v>
      </c>
      <c r="P5" s="70">
        <f t="shared" ref="P5" si="0">SUM(N5:O5)</f>
        <v>3030.33</v>
      </c>
      <c r="Q5" s="53">
        <v>4</v>
      </c>
      <c r="R5" s="70">
        <v>120</v>
      </c>
      <c r="S5" s="53"/>
      <c r="T5" s="70"/>
      <c r="U5" s="70">
        <f t="shared" ref="U5" si="1">(Q5*R5)+(S5*T5)</f>
        <v>480</v>
      </c>
      <c r="V5" s="70">
        <f>U5+P5</f>
        <v>3510.33</v>
      </c>
      <c r="W5" s="70">
        <f>V5</f>
        <v>3510.33</v>
      </c>
      <c r="X5" s="53"/>
    </row>
    <row r="11" spans="1:24">
      <c r="Q11" s="83"/>
    </row>
    <row r="12" spans="1:24">
      <c r="Q12" s="83"/>
    </row>
    <row r="13" spans="1:24">
      <c r="Q13" s="83"/>
    </row>
    <row r="14" spans="1:24">
      <c r="Q14" s="8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X14"/>
  <sheetViews>
    <sheetView workbookViewId="0">
      <selection activeCell="B19" sqref="B19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6" t="s">
        <v>1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</row>
    <row r="2" spans="1:24" ht="15">
      <c r="A2" s="96" t="s">
        <v>2</v>
      </c>
      <c r="B2" s="96"/>
      <c r="C2" s="96" t="s">
        <v>3</v>
      </c>
      <c r="D2" s="96"/>
      <c r="E2" s="96"/>
      <c r="F2" s="96" t="s">
        <v>4</v>
      </c>
      <c r="G2" s="96"/>
      <c r="H2" s="96"/>
      <c r="I2" s="96"/>
      <c r="J2" s="96"/>
      <c r="K2" s="96"/>
      <c r="L2" s="96"/>
      <c r="M2" s="96"/>
      <c r="N2" s="96" t="s">
        <v>5</v>
      </c>
      <c r="O2" s="96"/>
      <c r="P2" s="96"/>
      <c r="Q2" s="96" t="s">
        <v>6</v>
      </c>
      <c r="R2" s="96"/>
      <c r="S2" s="96"/>
      <c r="T2" s="96"/>
      <c r="U2" s="96"/>
      <c r="V2" s="96"/>
      <c r="W2" s="96" t="s">
        <v>7</v>
      </c>
      <c r="X2" s="149" t="s">
        <v>8</v>
      </c>
    </row>
    <row r="3" spans="1:24" ht="15">
      <c r="A3" s="97" t="s">
        <v>9</v>
      </c>
      <c r="B3" s="97" t="s">
        <v>10</v>
      </c>
      <c r="C3" s="97" t="s">
        <v>11</v>
      </c>
      <c r="D3" s="97" t="s">
        <v>12</v>
      </c>
      <c r="E3" s="97" t="s">
        <v>13</v>
      </c>
      <c r="F3" s="97" t="s">
        <v>14</v>
      </c>
      <c r="G3" s="97" t="s">
        <v>15</v>
      </c>
      <c r="H3" s="97" t="s">
        <v>16</v>
      </c>
      <c r="I3" s="97"/>
      <c r="J3" s="98" t="s">
        <v>17</v>
      </c>
      <c r="K3" s="98"/>
      <c r="L3" s="97" t="s">
        <v>18</v>
      </c>
      <c r="M3" s="97" t="s">
        <v>19</v>
      </c>
      <c r="N3" s="98" t="s">
        <v>20</v>
      </c>
      <c r="O3" s="98" t="s">
        <v>21</v>
      </c>
      <c r="P3" s="98" t="s">
        <v>22</v>
      </c>
      <c r="Q3" s="98" t="s">
        <v>23</v>
      </c>
      <c r="R3" s="98"/>
      <c r="S3" s="98" t="s">
        <v>24</v>
      </c>
      <c r="T3" s="98"/>
      <c r="U3" s="97" t="s">
        <v>25</v>
      </c>
      <c r="V3" s="98" t="s">
        <v>22</v>
      </c>
      <c r="W3" s="96"/>
      <c r="X3" s="149"/>
    </row>
    <row r="4" spans="1:24" ht="15">
      <c r="A4" s="97"/>
      <c r="B4" s="97"/>
      <c r="C4" s="97"/>
      <c r="D4" s="97"/>
      <c r="E4" s="97"/>
      <c r="F4" s="97"/>
      <c r="G4" s="97"/>
      <c r="H4" s="10" t="s">
        <v>26</v>
      </c>
      <c r="I4" s="10" t="s">
        <v>27</v>
      </c>
      <c r="J4" s="10" t="s">
        <v>26</v>
      </c>
      <c r="K4" s="11" t="s">
        <v>28</v>
      </c>
      <c r="L4" s="97"/>
      <c r="M4" s="97"/>
      <c r="N4" s="98"/>
      <c r="O4" s="98"/>
      <c r="P4" s="98"/>
      <c r="Q4" s="10" t="s">
        <v>29</v>
      </c>
      <c r="R4" s="11" t="s">
        <v>30</v>
      </c>
      <c r="S4" s="10" t="s">
        <v>29</v>
      </c>
      <c r="T4" s="11" t="s">
        <v>30</v>
      </c>
      <c r="U4" s="97"/>
      <c r="V4" s="98"/>
      <c r="W4" s="96"/>
      <c r="X4" s="150"/>
    </row>
    <row r="5" spans="1:24" ht="15">
      <c r="A5" s="94"/>
      <c r="B5" s="94"/>
      <c r="C5" s="94"/>
      <c r="D5" s="56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11" spans="1:24">
      <c r="Q11" s="83"/>
    </row>
    <row r="12" spans="1:24">
      <c r="Q12" s="83"/>
    </row>
    <row r="13" spans="1:24">
      <c r="Q13" s="83"/>
    </row>
    <row r="14" spans="1:24">
      <c r="Q14" s="8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32"/>
  <sheetViews>
    <sheetView topLeftCell="A16" workbookViewId="0">
      <selection activeCell="E13" sqref="E13"/>
    </sheetView>
  </sheetViews>
  <sheetFormatPr defaultRowHeight="15" customHeight="1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62" t="s">
        <v>0</v>
      </c>
      <c r="W5" s="162"/>
      <c r="X5" s="8">
        <v>43009</v>
      </c>
    </row>
    <row r="6" spans="1:24">
      <c r="A6" s="96" t="s">
        <v>1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</row>
    <row r="7" spans="1:24">
      <c r="A7" s="96" t="s">
        <v>2</v>
      </c>
      <c r="B7" s="96"/>
      <c r="C7" s="96" t="s">
        <v>3</v>
      </c>
      <c r="D7" s="96"/>
      <c r="E7" s="96"/>
      <c r="F7" s="96" t="s">
        <v>4</v>
      </c>
      <c r="G7" s="96"/>
      <c r="H7" s="96"/>
      <c r="I7" s="96"/>
      <c r="J7" s="96"/>
      <c r="K7" s="96"/>
      <c r="L7" s="96"/>
      <c r="M7" s="96"/>
      <c r="N7" s="96" t="s">
        <v>5</v>
      </c>
      <c r="O7" s="96"/>
      <c r="P7" s="96"/>
      <c r="Q7" s="96" t="s">
        <v>6</v>
      </c>
      <c r="R7" s="96"/>
      <c r="S7" s="96"/>
      <c r="T7" s="96"/>
      <c r="U7" s="96"/>
      <c r="V7" s="96"/>
      <c r="W7" s="96" t="s">
        <v>7</v>
      </c>
      <c r="X7" s="96" t="s">
        <v>8</v>
      </c>
    </row>
    <row r="8" spans="1:24" s="9" customFormat="1">
      <c r="A8" s="97" t="s">
        <v>9</v>
      </c>
      <c r="B8" s="97" t="s">
        <v>10</v>
      </c>
      <c r="C8" s="97" t="s">
        <v>11</v>
      </c>
      <c r="D8" s="97" t="s">
        <v>12</v>
      </c>
      <c r="E8" s="97" t="s">
        <v>13</v>
      </c>
      <c r="F8" s="97" t="s">
        <v>14</v>
      </c>
      <c r="G8" s="97" t="s">
        <v>15</v>
      </c>
      <c r="H8" s="97" t="s">
        <v>16</v>
      </c>
      <c r="I8" s="97"/>
      <c r="J8" s="98" t="s">
        <v>17</v>
      </c>
      <c r="K8" s="98"/>
      <c r="L8" s="97" t="s">
        <v>18</v>
      </c>
      <c r="M8" s="97" t="s">
        <v>19</v>
      </c>
      <c r="N8" s="98" t="s">
        <v>20</v>
      </c>
      <c r="O8" s="98" t="s">
        <v>21</v>
      </c>
      <c r="P8" s="98" t="s">
        <v>22</v>
      </c>
      <c r="Q8" s="98" t="s">
        <v>23</v>
      </c>
      <c r="R8" s="98"/>
      <c r="S8" s="98" t="s">
        <v>24</v>
      </c>
      <c r="T8" s="98"/>
      <c r="U8" s="97" t="s">
        <v>25</v>
      </c>
      <c r="V8" s="98" t="s">
        <v>22</v>
      </c>
      <c r="W8" s="96"/>
      <c r="X8" s="96"/>
    </row>
    <row r="9" spans="1:24" s="9" customFormat="1">
      <c r="A9" s="97"/>
      <c r="B9" s="97"/>
      <c r="C9" s="97"/>
      <c r="D9" s="97"/>
      <c r="E9" s="97"/>
      <c r="F9" s="97"/>
      <c r="G9" s="97"/>
      <c r="H9" s="10" t="s">
        <v>26</v>
      </c>
      <c r="I9" s="10" t="s">
        <v>27</v>
      </c>
      <c r="J9" s="10" t="s">
        <v>26</v>
      </c>
      <c r="K9" s="11" t="s">
        <v>28</v>
      </c>
      <c r="L9" s="97"/>
      <c r="M9" s="97"/>
      <c r="N9" s="98"/>
      <c r="O9" s="98"/>
      <c r="P9" s="98"/>
      <c r="Q9" s="10" t="s">
        <v>29</v>
      </c>
      <c r="R9" s="11" t="s">
        <v>30</v>
      </c>
      <c r="S9" s="10" t="s">
        <v>29</v>
      </c>
      <c r="T9" s="11" t="s">
        <v>30</v>
      </c>
      <c r="U9" s="97"/>
      <c r="V9" s="98"/>
      <c r="W9" s="96"/>
      <c r="X9" s="96"/>
    </row>
    <row r="10" spans="1:24" ht="25.5">
      <c r="A10" s="27" t="s">
        <v>44</v>
      </c>
      <c r="B10" s="27" t="s">
        <v>133</v>
      </c>
      <c r="C10" s="34" t="s">
        <v>134</v>
      </c>
      <c r="D10" s="29" t="s">
        <v>135</v>
      </c>
      <c r="E10" s="34" t="s">
        <v>60</v>
      </c>
      <c r="F10" s="34" t="s">
        <v>136</v>
      </c>
      <c r="G10" s="30" t="s">
        <v>36</v>
      </c>
      <c r="H10" s="27" t="s">
        <v>37</v>
      </c>
      <c r="I10" s="27" t="s">
        <v>38</v>
      </c>
      <c r="J10" s="27" t="s">
        <v>39</v>
      </c>
      <c r="K10" s="31" t="s">
        <v>40</v>
      </c>
      <c r="L10" s="35">
        <v>43017</v>
      </c>
      <c r="M10" s="35">
        <v>43018</v>
      </c>
      <c r="N10" s="31">
        <f>675.11/2</f>
        <v>337.55500000000001</v>
      </c>
      <c r="O10" s="31">
        <f>675.11/2</f>
        <v>337.55500000000001</v>
      </c>
      <c r="P10" s="31">
        <f t="shared" ref="P10:P23" si="0">N10+O10</f>
        <v>675.11</v>
      </c>
      <c r="Q10" s="27">
        <v>2</v>
      </c>
      <c r="R10" s="31">
        <v>120</v>
      </c>
      <c r="S10" s="27">
        <v>3</v>
      </c>
      <c r="T10" s="31">
        <v>100</v>
      </c>
      <c r="U10" s="32">
        <f t="shared" ref="U10:U23" si="1">(Q10*R10)+(S10*T10)</f>
        <v>540</v>
      </c>
      <c r="V10" s="31">
        <f t="shared" ref="V10:V23" si="2">P10+U10</f>
        <v>1215.1100000000001</v>
      </c>
      <c r="W10" s="31">
        <f t="shared" ref="W10:W23" si="3">V10</f>
        <v>1215.1100000000001</v>
      </c>
      <c r="X10" s="28"/>
    </row>
    <row r="11" spans="1:24" ht="25.5">
      <c r="A11" s="27" t="s">
        <v>44</v>
      </c>
      <c r="B11" s="27" t="s">
        <v>133</v>
      </c>
      <c r="C11" s="27" t="s">
        <v>137</v>
      </c>
      <c r="D11" s="29" t="s">
        <v>138</v>
      </c>
      <c r="E11" s="34" t="s">
        <v>139</v>
      </c>
      <c r="F11" s="34" t="s">
        <v>136</v>
      </c>
      <c r="G11" s="30" t="s">
        <v>36</v>
      </c>
      <c r="H11" s="27" t="s">
        <v>37</v>
      </c>
      <c r="I11" s="27" t="s">
        <v>38</v>
      </c>
      <c r="J11" s="27" t="s">
        <v>39</v>
      </c>
      <c r="K11" s="31" t="s">
        <v>40</v>
      </c>
      <c r="L11" s="35">
        <v>43017</v>
      </c>
      <c r="M11" s="35">
        <v>43018</v>
      </c>
      <c r="N11" s="31">
        <f>709.11/2</f>
        <v>354.55500000000001</v>
      </c>
      <c r="O11" s="31">
        <f>709.11/2</f>
        <v>354.55500000000001</v>
      </c>
      <c r="P11" s="31">
        <f t="shared" si="0"/>
        <v>709.11</v>
      </c>
      <c r="Q11" s="27">
        <v>2</v>
      </c>
      <c r="R11" s="31">
        <v>120</v>
      </c>
      <c r="S11" s="27">
        <v>4</v>
      </c>
      <c r="T11" s="31">
        <v>100</v>
      </c>
      <c r="U11" s="32">
        <f t="shared" si="1"/>
        <v>640</v>
      </c>
      <c r="V11" s="31">
        <f t="shared" si="2"/>
        <v>1349.1100000000001</v>
      </c>
      <c r="W11" s="31">
        <f t="shared" si="3"/>
        <v>1349.1100000000001</v>
      </c>
      <c r="X11" s="33"/>
    </row>
    <row r="12" spans="1:24" ht="25.5">
      <c r="A12" s="27" t="s">
        <v>44</v>
      </c>
      <c r="B12" s="27" t="s">
        <v>133</v>
      </c>
      <c r="C12" s="27" t="s">
        <v>140</v>
      </c>
      <c r="D12" s="29" t="s">
        <v>141</v>
      </c>
      <c r="E12" s="20" t="s">
        <v>142</v>
      </c>
      <c r="F12" s="34" t="s">
        <v>136</v>
      </c>
      <c r="G12" s="30" t="s">
        <v>36</v>
      </c>
      <c r="H12" s="27" t="s">
        <v>37</v>
      </c>
      <c r="I12" s="27" t="s">
        <v>38</v>
      </c>
      <c r="J12" s="27" t="s">
        <v>39</v>
      </c>
      <c r="K12" s="31" t="s">
        <v>40</v>
      </c>
      <c r="L12" s="35">
        <v>43017</v>
      </c>
      <c r="M12" s="35">
        <v>43018</v>
      </c>
      <c r="N12" s="31">
        <f>1555.64/2</f>
        <v>777.82</v>
      </c>
      <c r="O12" s="31">
        <f>1555.64/2</f>
        <v>777.82</v>
      </c>
      <c r="P12" s="31">
        <f t="shared" si="0"/>
        <v>1555.64</v>
      </c>
      <c r="Q12" s="27">
        <v>6</v>
      </c>
      <c r="R12" s="31">
        <v>120</v>
      </c>
      <c r="S12" s="27"/>
      <c r="T12" s="31"/>
      <c r="U12" s="32">
        <f t="shared" si="1"/>
        <v>720</v>
      </c>
      <c r="V12" s="31">
        <f t="shared" si="2"/>
        <v>2275.6400000000003</v>
      </c>
      <c r="W12" s="31">
        <f t="shared" si="3"/>
        <v>2275.6400000000003</v>
      </c>
      <c r="X12" s="33"/>
    </row>
    <row r="13" spans="1:24" ht="25.5">
      <c r="A13" s="27" t="s">
        <v>52</v>
      </c>
      <c r="B13" s="27" t="s">
        <v>143</v>
      </c>
      <c r="C13" s="27" t="s">
        <v>144</v>
      </c>
      <c r="D13" s="29" t="s">
        <v>145</v>
      </c>
      <c r="E13" s="20" t="s">
        <v>146</v>
      </c>
      <c r="F13" s="34" t="s">
        <v>147</v>
      </c>
      <c r="G13" s="30" t="s">
        <v>36</v>
      </c>
      <c r="H13" s="27" t="s">
        <v>37</v>
      </c>
      <c r="I13" s="27" t="s">
        <v>38</v>
      </c>
      <c r="J13" s="27" t="s">
        <v>148</v>
      </c>
      <c r="K13" s="31" t="s">
        <v>149</v>
      </c>
      <c r="L13" s="35">
        <v>43012</v>
      </c>
      <c r="M13" s="35">
        <v>43014</v>
      </c>
      <c r="N13" s="31">
        <f>1015.48/2</f>
        <v>507.74</v>
      </c>
      <c r="O13" s="31">
        <f>1015.48/2</f>
        <v>507.74</v>
      </c>
      <c r="P13" s="31">
        <f t="shared" si="0"/>
        <v>1015.48</v>
      </c>
      <c r="Q13" s="27">
        <v>3</v>
      </c>
      <c r="R13" s="31">
        <v>120</v>
      </c>
      <c r="S13" s="27"/>
      <c r="T13" s="31"/>
      <c r="U13" s="32">
        <f t="shared" si="1"/>
        <v>360</v>
      </c>
      <c r="V13" s="31">
        <f t="shared" si="2"/>
        <v>1375.48</v>
      </c>
      <c r="W13" s="31">
        <f t="shared" si="3"/>
        <v>1375.48</v>
      </c>
      <c r="X13" s="33"/>
    </row>
    <row r="14" spans="1:24" ht="25.5">
      <c r="A14" s="27" t="s">
        <v>52</v>
      </c>
      <c r="B14" s="27" t="s">
        <v>143</v>
      </c>
      <c r="C14" s="27" t="s">
        <v>144</v>
      </c>
      <c r="D14" s="29" t="s">
        <v>145</v>
      </c>
      <c r="E14" s="20" t="s">
        <v>146</v>
      </c>
      <c r="F14" s="34" t="s">
        <v>150</v>
      </c>
      <c r="G14" s="30" t="s">
        <v>36</v>
      </c>
      <c r="H14" s="27" t="s">
        <v>37</v>
      </c>
      <c r="I14" s="27" t="s">
        <v>38</v>
      </c>
      <c r="J14" s="27" t="s">
        <v>39</v>
      </c>
      <c r="K14" s="31" t="s">
        <v>40</v>
      </c>
      <c r="L14" s="35">
        <v>43025</v>
      </c>
      <c r="M14" s="35">
        <v>43028</v>
      </c>
      <c r="N14" s="31">
        <f>965.46/2</f>
        <v>482.73</v>
      </c>
      <c r="O14" s="31">
        <f>965.46/2</f>
        <v>482.73</v>
      </c>
      <c r="P14" s="31">
        <f t="shared" si="0"/>
        <v>965.46</v>
      </c>
      <c r="Q14" s="27">
        <v>4</v>
      </c>
      <c r="R14" s="31">
        <v>120</v>
      </c>
      <c r="S14" s="27"/>
      <c r="T14" s="31"/>
      <c r="U14" s="32">
        <f t="shared" si="1"/>
        <v>480</v>
      </c>
      <c r="V14" s="31">
        <f t="shared" si="2"/>
        <v>1445.46</v>
      </c>
      <c r="W14" s="31">
        <f t="shared" si="3"/>
        <v>1445.46</v>
      </c>
      <c r="X14" s="33"/>
    </row>
    <row r="15" spans="1:24" ht="25.5">
      <c r="A15" s="27" t="s">
        <v>44</v>
      </c>
      <c r="B15" s="27" t="s">
        <v>151</v>
      </c>
      <c r="C15" s="27" t="s">
        <v>152</v>
      </c>
      <c r="D15" s="29" t="s">
        <v>153</v>
      </c>
      <c r="E15" s="20" t="s">
        <v>154</v>
      </c>
      <c r="F15" s="34" t="s">
        <v>147</v>
      </c>
      <c r="G15" s="30" t="s">
        <v>36</v>
      </c>
      <c r="H15" s="27" t="s">
        <v>37</v>
      </c>
      <c r="I15" s="27" t="s">
        <v>38</v>
      </c>
      <c r="J15" s="27" t="s">
        <v>148</v>
      </c>
      <c r="K15" s="31" t="s">
        <v>149</v>
      </c>
      <c r="L15" s="35">
        <v>43012</v>
      </c>
      <c r="M15" s="35">
        <v>43014</v>
      </c>
      <c r="N15" s="31">
        <f>1015.48/2</f>
        <v>507.74</v>
      </c>
      <c r="O15" s="31">
        <f>1015.48/2</f>
        <v>507.74</v>
      </c>
      <c r="P15" s="31">
        <f t="shared" si="0"/>
        <v>1015.48</v>
      </c>
      <c r="Q15" s="27">
        <v>5</v>
      </c>
      <c r="R15" s="31">
        <v>120</v>
      </c>
      <c r="S15" s="27"/>
      <c r="T15" s="31"/>
      <c r="U15" s="32">
        <f t="shared" si="1"/>
        <v>600</v>
      </c>
      <c r="V15" s="31">
        <f t="shared" si="2"/>
        <v>1615.48</v>
      </c>
      <c r="W15" s="31">
        <f t="shared" si="3"/>
        <v>1615.48</v>
      </c>
      <c r="X15" s="33"/>
    </row>
    <row r="16" spans="1:24" ht="38.25">
      <c r="A16" s="27" t="s">
        <v>44</v>
      </c>
      <c r="B16" s="27" t="s">
        <v>151</v>
      </c>
      <c r="C16" s="27" t="s">
        <v>155</v>
      </c>
      <c r="D16" s="29" t="s">
        <v>156</v>
      </c>
      <c r="E16" s="34" t="s">
        <v>157</v>
      </c>
      <c r="F16" s="34" t="s">
        <v>147</v>
      </c>
      <c r="G16" s="30" t="s">
        <v>36</v>
      </c>
      <c r="H16" s="27" t="s">
        <v>37</v>
      </c>
      <c r="I16" s="27" t="s">
        <v>38</v>
      </c>
      <c r="J16" s="27" t="s">
        <v>148</v>
      </c>
      <c r="K16" s="31" t="s">
        <v>149</v>
      </c>
      <c r="L16" s="35">
        <v>43012</v>
      </c>
      <c r="M16" s="35">
        <v>43014</v>
      </c>
      <c r="N16" s="31">
        <f>962.55/2</f>
        <v>481.27499999999998</v>
      </c>
      <c r="O16" s="31">
        <f>962.55/2</f>
        <v>481.27499999999998</v>
      </c>
      <c r="P16" s="31">
        <f t="shared" si="0"/>
        <v>962.55</v>
      </c>
      <c r="Q16" s="27">
        <v>5</v>
      </c>
      <c r="R16" s="31">
        <v>120</v>
      </c>
      <c r="S16" s="27"/>
      <c r="T16" s="31"/>
      <c r="U16" s="32">
        <f t="shared" si="1"/>
        <v>600</v>
      </c>
      <c r="V16" s="31">
        <f t="shared" si="2"/>
        <v>1562.55</v>
      </c>
      <c r="W16" s="31">
        <f t="shared" si="3"/>
        <v>1562.55</v>
      </c>
      <c r="X16" s="33"/>
    </row>
    <row r="17" spans="1:24" ht="38.25">
      <c r="A17" s="27" t="s">
        <v>52</v>
      </c>
      <c r="B17" s="27" t="s">
        <v>143</v>
      </c>
      <c r="C17" s="27" t="s">
        <v>158</v>
      </c>
      <c r="D17" s="29" t="s">
        <v>159</v>
      </c>
      <c r="E17" s="20" t="s">
        <v>160</v>
      </c>
      <c r="F17" s="34" t="s">
        <v>150</v>
      </c>
      <c r="G17" s="30" t="s">
        <v>36</v>
      </c>
      <c r="H17" s="27" t="s">
        <v>37</v>
      </c>
      <c r="I17" s="27" t="s">
        <v>38</v>
      </c>
      <c r="J17" s="27" t="s">
        <v>39</v>
      </c>
      <c r="K17" s="31" t="s">
        <v>40</v>
      </c>
      <c r="L17" s="35">
        <v>43025</v>
      </c>
      <c r="M17" s="35">
        <v>43028</v>
      </c>
      <c r="N17" s="31">
        <f>965.49/2</f>
        <v>482.745</v>
      </c>
      <c r="O17" s="31">
        <f>965.49/2</f>
        <v>482.745</v>
      </c>
      <c r="P17" s="31">
        <f t="shared" si="0"/>
        <v>965.49</v>
      </c>
      <c r="Q17" s="27">
        <v>7</v>
      </c>
      <c r="R17" s="31">
        <v>120</v>
      </c>
      <c r="S17" s="27"/>
      <c r="T17" s="31"/>
      <c r="U17" s="32">
        <f t="shared" si="1"/>
        <v>840</v>
      </c>
      <c r="V17" s="31">
        <f t="shared" si="2"/>
        <v>1805.49</v>
      </c>
      <c r="W17" s="31">
        <f t="shared" si="3"/>
        <v>1805.49</v>
      </c>
      <c r="X17" s="33"/>
    </row>
    <row r="18" spans="1:24" ht="25.5">
      <c r="A18" s="27" t="s">
        <v>31</v>
      </c>
      <c r="B18" s="27" t="s">
        <v>81</v>
      </c>
      <c r="C18" s="27" t="s">
        <v>82</v>
      </c>
      <c r="D18" s="29" t="s">
        <v>83</v>
      </c>
      <c r="E18" s="20" t="s">
        <v>84</v>
      </c>
      <c r="F18" s="34" t="s">
        <v>161</v>
      </c>
      <c r="G18" s="30" t="s">
        <v>36</v>
      </c>
      <c r="H18" s="27" t="s">
        <v>37</v>
      </c>
      <c r="I18" s="27" t="s">
        <v>38</v>
      </c>
      <c r="J18" s="27" t="s">
        <v>39</v>
      </c>
      <c r="K18" s="31" t="s">
        <v>40</v>
      </c>
      <c r="L18" s="35">
        <v>43010</v>
      </c>
      <c r="M18" s="35">
        <v>43013</v>
      </c>
      <c r="N18" s="31">
        <f>1354.13/2</f>
        <v>677.06500000000005</v>
      </c>
      <c r="O18" s="31">
        <f>1354.13/2</f>
        <v>677.06500000000005</v>
      </c>
      <c r="P18" s="31">
        <f t="shared" si="0"/>
        <v>1354.13</v>
      </c>
      <c r="Q18" s="27">
        <v>6</v>
      </c>
      <c r="R18" s="31">
        <v>120</v>
      </c>
      <c r="S18" s="27"/>
      <c r="T18" s="31"/>
      <c r="U18" s="32">
        <f t="shared" si="1"/>
        <v>720</v>
      </c>
      <c r="V18" s="31">
        <f t="shared" si="2"/>
        <v>2074.13</v>
      </c>
      <c r="W18" s="31">
        <f t="shared" si="3"/>
        <v>2074.13</v>
      </c>
      <c r="X18" s="33"/>
    </row>
    <row r="19" spans="1:24" ht="25.5">
      <c r="A19" s="27" t="s">
        <v>44</v>
      </c>
      <c r="B19" s="27" t="s">
        <v>162</v>
      </c>
      <c r="C19" s="27" t="s">
        <v>76</v>
      </c>
      <c r="D19" s="29" t="s">
        <v>107</v>
      </c>
      <c r="E19" s="14" t="s">
        <v>78</v>
      </c>
      <c r="F19" s="34" t="s">
        <v>136</v>
      </c>
      <c r="G19" s="30" t="s">
        <v>36</v>
      </c>
      <c r="H19" s="27" t="s">
        <v>116</v>
      </c>
      <c r="I19" s="27" t="s">
        <v>117</v>
      </c>
      <c r="J19" s="27" t="s">
        <v>39</v>
      </c>
      <c r="K19" s="31" t="s">
        <v>40</v>
      </c>
      <c r="L19" s="35">
        <v>43017</v>
      </c>
      <c r="M19" s="35">
        <v>43018</v>
      </c>
      <c r="N19" s="31">
        <f>637.47/2</f>
        <v>318.73500000000001</v>
      </c>
      <c r="O19" s="31">
        <f>637.47/2</f>
        <v>318.73500000000001</v>
      </c>
      <c r="P19" s="31">
        <f t="shared" si="0"/>
        <v>637.47</v>
      </c>
      <c r="Q19" s="27">
        <v>2</v>
      </c>
      <c r="R19" s="31">
        <v>120</v>
      </c>
      <c r="S19" s="27"/>
      <c r="T19" s="31"/>
      <c r="U19" s="32">
        <f t="shared" si="1"/>
        <v>240</v>
      </c>
      <c r="V19" s="31">
        <f t="shared" si="2"/>
        <v>877.47</v>
      </c>
      <c r="W19" s="31">
        <f t="shared" si="3"/>
        <v>877.47</v>
      </c>
      <c r="X19" s="33"/>
    </row>
    <row r="20" spans="1:24" ht="25.5">
      <c r="A20" s="27" t="s">
        <v>44</v>
      </c>
      <c r="B20" s="27" t="s">
        <v>133</v>
      </c>
      <c r="C20" s="27" t="s">
        <v>137</v>
      </c>
      <c r="D20" s="29" t="s">
        <v>138</v>
      </c>
      <c r="E20" s="20" t="s">
        <v>139</v>
      </c>
      <c r="F20" s="34" t="s">
        <v>163</v>
      </c>
      <c r="G20" s="30" t="s">
        <v>36</v>
      </c>
      <c r="H20" s="27" t="s">
        <v>37</v>
      </c>
      <c r="I20" s="27" t="s">
        <v>38</v>
      </c>
      <c r="J20" s="27" t="s">
        <v>39</v>
      </c>
      <c r="K20" s="31" t="s">
        <v>40</v>
      </c>
      <c r="L20" s="35">
        <v>43024</v>
      </c>
      <c r="M20" s="35">
        <v>43025</v>
      </c>
      <c r="N20" s="31">
        <f>1068.41/2</f>
        <v>534.20500000000004</v>
      </c>
      <c r="O20" s="31">
        <f>1068.41/2</f>
        <v>534.20500000000004</v>
      </c>
      <c r="P20" s="31">
        <f t="shared" si="0"/>
        <v>1068.4100000000001</v>
      </c>
      <c r="Q20" s="27">
        <v>2</v>
      </c>
      <c r="R20" s="31">
        <v>120</v>
      </c>
      <c r="S20" s="27">
        <v>3</v>
      </c>
      <c r="T20" s="31">
        <v>100</v>
      </c>
      <c r="U20" s="32">
        <f t="shared" si="1"/>
        <v>540</v>
      </c>
      <c r="V20" s="31">
        <f t="shared" si="2"/>
        <v>1608.41</v>
      </c>
      <c r="W20" s="31">
        <f t="shared" si="3"/>
        <v>1608.41</v>
      </c>
      <c r="X20" s="33"/>
    </row>
    <row r="21" spans="1:24" ht="25.5">
      <c r="A21" s="27" t="s">
        <v>31</v>
      </c>
      <c r="B21" s="27" t="s">
        <v>81</v>
      </c>
      <c r="C21" s="27" t="s">
        <v>96</v>
      </c>
      <c r="D21" s="29" t="s">
        <v>97</v>
      </c>
      <c r="E21" s="34" t="s">
        <v>164</v>
      </c>
      <c r="F21" s="34" t="s">
        <v>165</v>
      </c>
      <c r="G21" s="30" t="s">
        <v>36</v>
      </c>
      <c r="H21" s="27" t="s">
        <v>37</v>
      </c>
      <c r="I21" s="27" t="s">
        <v>38</v>
      </c>
      <c r="J21" s="27" t="s">
        <v>39</v>
      </c>
      <c r="K21" s="31" t="s">
        <v>40</v>
      </c>
      <c r="L21" s="35">
        <v>43031</v>
      </c>
      <c r="M21" s="35">
        <v>43034</v>
      </c>
      <c r="N21" s="31">
        <f>1472.41/2</f>
        <v>736.20500000000004</v>
      </c>
      <c r="O21" s="31">
        <f>1472.41/2</f>
        <v>736.20500000000004</v>
      </c>
      <c r="P21" s="31">
        <f t="shared" si="0"/>
        <v>1472.41</v>
      </c>
      <c r="Q21" s="27">
        <v>4</v>
      </c>
      <c r="R21" s="31">
        <v>120</v>
      </c>
      <c r="S21" s="27">
        <v>2</v>
      </c>
      <c r="T21" s="31">
        <v>100</v>
      </c>
      <c r="U21" s="32">
        <f t="shared" si="1"/>
        <v>680</v>
      </c>
      <c r="V21" s="31">
        <f t="shared" si="2"/>
        <v>2152.41</v>
      </c>
      <c r="W21" s="31">
        <f t="shared" si="3"/>
        <v>2152.41</v>
      </c>
      <c r="X21" s="33"/>
    </row>
    <row r="22" spans="1:24" ht="25.5">
      <c r="A22" s="27" t="s">
        <v>52</v>
      </c>
      <c r="B22" s="27" t="s">
        <v>53</v>
      </c>
      <c r="C22" s="27" t="s">
        <v>54</v>
      </c>
      <c r="D22" s="29" t="s">
        <v>88</v>
      </c>
      <c r="E22" s="20" t="s">
        <v>55</v>
      </c>
      <c r="F22" s="34" t="s">
        <v>166</v>
      </c>
      <c r="G22" s="30" t="s">
        <v>36</v>
      </c>
      <c r="H22" s="27" t="s">
        <v>37</v>
      </c>
      <c r="I22" s="27" t="s">
        <v>38</v>
      </c>
      <c r="J22" s="27" t="s">
        <v>39</v>
      </c>
      <c r="K22" s="31" t="s">
        <v>40</v>
      </c>
      <c r="L22" s="35">
        <v>43026</v>
      </c>
      <c r="M22" s="35">
        <v>43028</v>
      </c>
      <c r="N22" s="31">
        <f>1742.53/2</f>
        <v>871.26499999999999</v>
      </c>
      <c r="O22" s="31">
        <f>1742.53/2</f>
        <v>871.26499999999999</v>
      </c>
      <c r="P22" s="31">
        <f t="shared" si="0"/>
        <v>1742.53</v>
      </c>
      <c r="Q22" s="27">
        <v>6</v>
      </c>
      <c r="R22" s="31">
        <v>120</v>
      </c>
      <c r="S22" s="27"/>
      <c r="T22" s="31"/>
      <c r="U22" s="32">
        <f t="shared" si="1"/>
        <v>720</v>
      </c>
      <c r="V22" s="31">
        <f t="shared" si="2"/>
        <v>2462.5299999999997</v>
      </c>
      <c r="W22" s="31">
        <f t="shared" si="3"/>
        <v>2462.5299999999997</v>
      </c>
      <c r="X22" s="33"/>
    </row>
    <row r="23" spans="1:24" ht="51">
      <c r="A23" s="27" t="s">
        <v>31</v>
      </c>
      <c r="B23" s="27" t="s">
        <v>32</v>
      </c>
      <c r="C23" s="27" t="s">
        <v>167</v>
      </c>
      <c r="D23" s="29" t="s">
        <v>168</v>
      </c>
      <c r="E23" s="20" t="s">
        <v>169</v>
      </c>
      <c r="F23" s="34" t="s">
        <v>170</v>
      </c>
      <c r="G23" s="30" t="s">
        <v>36</v>
      </c>
      <c r="H23" s="27" t="s">
        <v>37</v>
      </c>
      <c r="I23" s="27" t="s">
        <v>38</v>
      </c>
      <c r="J23" s="27" t="s">
        <v>116</v>
      </c>
      <c r="K23" s="27" t="s">
        <v>117</v>
      </c>
      <c r="L23" s="35">
        <v>43030</v>
      </c>
      <c r="M23" s="35">
        <v>43032</v>
      </c>
      <c r="N23" s="31">
        <f>776.56/2</f>
        <v>388.28</v>
      </c>
      <c r="O23" s="31">
        <f>776.56/2</f>
        <v>388.28</v>
      </c>
      <c r="P23" s="31">
        <f t="shared" si="0"/>
        <v>776.56</v>
      </c>
      <c r="Q23" s="27">
        <v>3</v>
      </c>
      <c r="R23" s="31">
        <v>120</v>
      </c>
      <c r="S23" s="27">
        <v>2</v>
      </c>
      <c r="T23" s="31">
        <v>100</v>
      </c>
      <c r="U23" s="32">
        <f t="shared" si="1"/>
        <v>560</v>
      </c>
      <c r="V23" s="31">
        <f t="shared" si="2"/>
        <v>1336.56</v>
      </c>
      <c r="W23" s="31">
        <f t="shared" si="3"/>
        <v>1336.56</v>
      </c>
      <c r="X23" s="33"/>
    </row>
    <row r="24" spans="1:24" ht="38.25">
      <c r="A24" s="27" t="s">
        <v>31</v>
      </c>
      <c r="B24" s="27" t="s">
        <v>32</v>
      </c>
      <c r="C24" s="27" t="s">
        <v>41</v>
      </c>
      <c r="D24" s="29" t="s">
        <v>171</v>
      </c>
      <c r="E24" s="20" t="s">
        <v>42</v>
      </c>
      <c r="F24" s="34" t="s">
        <v>103</v>
      </c>
      <c r="G24" s="30" t="s">
        <v>36</v>
      </c>
      <c r="H24" s="27" t="s">
        <v>37</v>
      </c>
      <c r="I24" s="27" t="s">
        <v>38</v>
      </c>
      <c r="J24" s="27" t="s">
        <v>116</v>
      </c>
      <c r="K24" s="27" t="s">
        <v>117</v>
      </c>
      <c r="L24" s="35">
        <v>43032</v>
      </c>
      <c r="M24" s="35">
        <v>43034</v>
      </c>
      <c r="N24" s="31">
        <f>618.16/2</f>
        <v>309.08</v>
      </c>
      <c r="O24" s="31">
        <f>618.16/2</f>
        <v>309.08</v>
      </c>
      <c r="P24" s="31">
        <f t="shared" ref="P24:P32" si="4">N24+O24</f>
        <v>618.16</v>
      </c>
      <c r="Q24" s="27">
        <v>3</v>
      </c>
      <c r="R24" s="31">
        <v>120</v>
      </c>
      <c r="S24" s="27"/>
      <c r="T24" s="31"/>
      <c r="U24" s="32">
        <f t="shared" ref="U24:U32" si="5">(Q24*R24)+(S24*T24)</f>
        <v>360</v>
      </c>
      <c r="V24" s="31">
        <f t="shared" ref="V24:V32" si="6">P24+U24</f>
        <v>978.16</v>
      </c>
      <c r="W24" s="31">
        <f t="shared" ref="W24:W32" si="7">V24</f>
        <v>978.16</v>
      </c>
      <c r="X24" s="33"/>
    </row>
    <row r="25" spans="1:24" ht="25.5">
      <c r="A25" s="27" t="s">
        <v>31</v>
      </c>
      <c r="B25" s="27" t="s">
        <v>31</v>
      </c>
      <c r="C25" s="27" t="s">
        <v>49</v>
      </c>
      <c r="D25" s="29" t="s">
        <v>107</v>
      </c>
      <c r="E25" s="20" t="s">
        <v>50</v>
      </c>
      <c r="F25" s="34" t="s">
        <v>172</v>
      </c>
      <c r="G25" s="30" t="s">
        <v>36</v>
      </c>
      <c r="H25" s="27" t="s">
        <v>37</v>
      </c>
      <c r="I25" s="27" t="s">
        <v>38</v>
      </c>
      <c r="J25" s="27" t="s">
        <v>39</v>
      </c>
      <c r="K25" s="31" t="s">
        <v>40</v>
      </c>
      <c r="L25" s="35">
        <v>43027</v>
      </c>
      <c r="M25" s="35">
        <v>43028</v>
      </c>
      <c r="N25" s="31">
        <f>2126/2</f>
        <v>1063</v>
      </c>
      <c r="O25" s="31">
        <f>2126/2</f>
        <v>1063</v>
      </c>
      <c r="P25" s="31">
        <f t="shared" si="4"/>
        <v>2126</v>
      </c>
      <c r="Q25" s="27"/>
      <c r="R25" s="31"/>
      <c r="S25" s="27"/>
      <c r="T25" s="31"/>
      <c r="U25" s="32">
        <f t="shared" si="5"/>
        <v>0</v>
      </c>
      <c r="V25" s="31">
        <f t="shared" si="6"/>
        <v>2126</v>
      </c>
      <c r="W25" s="31">
        <f t="shared" si="7"/>
        <v>2126</v>
      </c>
      <c r="X25" s="33"/>
    </row>
    <row r="26" spans="1:24" ht="25.5">
      <c r="A26" s="27" t="s">
        <v>31</v>
      </c>
      <c r="B26" s="27" t="s">
        <v>81</v>
      </c>
      <c r="C26" s="27" t="s">
        <v>173</v>
      </c>
      <c r="D26" s="29" t="s">
        <v>174</v>
      </c>
      <c r="E26" s="20" t="s">
        <v>175</v>
      </c>
      <c r="F26" s="34" t="s">
        <v>165</v>
      </c>
      <c r="G26" s="30" t="s">
        <v>36</v>
      </c>
      <c r="H26" s="27" t="s">
        <v>37</v>
      </c>
      <c r="I26" s="27" t="s">
        <v>38</v>
      </c>
      <c r="J26" s="27" t="s">
        <v>39</v>
      </c>
      <c r="K26" s="31" t="s">
        <v>40</v>
      </c>
      <c r="L26" s="35">
        <v>43031</v>
      </c>
      <c r="M26" s="35">
        <v>43034</v>
      </c>
      <c r="N26" s="31">
        <f>1472.41/2</f>
        <v>736.20500000000004</v>
      </c>
      <c r="O26" s="31">
        <f>1472.41/2</f>
        <v>736.20500000000004</v>
      </c>
      <c r="P26" s="31">
        <f t="shared" si="4"/>
        <v>1472.41</v>
      </c>
      <c r="Q26" s="27">
        <v>4</v>
      </c>
      <c r="R26" s="31">
        <v>120</v>
      </c>
      <c r="S26" s="27"/>
      <c r="T26" s="31"/>
      <c r="U26" s="32">
        <f t="shared" si="5"/>
        <v>480</v>
      </c>
      <c r="V26" s="31">
        <f t="shared" si="6"/>
        <v>1952.41</v>
      </c>
      <c r="W26" s="31">
        <f t="shared" si="7"/>
        <v>1952.41</v>
      </c>
      <c r="X26" s="33"/>
    </row>
    <row r="27" spans="1:24" ht="25.5">
      <c r="A27" s="27" t="s">
        <v>52</v>
      </c>
      <c r="B27" s="27" t="s">
        <v>53</v>
      </c>
      <c r="C27" s="27" t="s">
        <v>54</v>
      </c>
      <c r="D27" s="29" t="s">
        <v>88</v>
      </c>
      <c r="E27" s="20" t="s">
        <v>55</v>
      </c>
      <c r="F27" s="34" t="s">
        <v>161</v>
      </c>
      <c r="G27" s="30" t="s">
        <v>36</v>
      </c>
      <c r="H27" s="27" t="s">
        <v>37</v>
      </c>
      <c r="I27" s="27" t="s">
        <v>38</v>
      </c>
      <c r="J27" s="27" t="s">
        <v>116</v>
      </c>
      <c r="K27" s="27" t="s">
        <v>117</v>
      </c>
      <c r="L27" s="35">
        <v>43035</v>
      </c>
      <c r="M27" s="35">
        <v>43035</v>
      </c>
      <c r="N27" s="31">
        <f>985.24/2</f>
        <v>492.62</v>
      </c>
      <c r="O27" s="31">
        <f>985.24/2</f>
        <v>492.62</v>
      </c>
      <c r="P27" s="31">
        <f t="shared" si="4"/>
        <v>985.24</v>
      </c>
      <c r="Q27" s="27">
        <v>3</v>
      </c>
      <c r="R27" s="31">
        <v>120</v>
      </c>
      <c r="S27" s="27"/>
      <c r="T27" s="31"/>
      <c r="U27" s="32">
        <f t="shared" si="5"/>
        <v>360</v>
      </c>
      <c r="V27" s="31">
        <f t="shared" si="6"/>
        <v>1345.24</v>
      </c>
      <c r="W27" s="31">
        <f t="shared" si="7"/>
        <v>1345.24</v>
      </c>
      <c r="X27" s="33"/>
    </row>
    <row r="28" spans="1:24" ht="25.5">
      <c r="A28" s="27" t="s">
        <v>52</v>
      </c>
      <c r="B28" s="27" t="s">
        <v>52</v>
      </c>
      <c r="C28" s="27" t="s">
        <v>86</v>
      </c>
      <c r="D28" s="29" t="s">
        <v>107</v>
      </c>
      <c r="E28" s="20" t="s">
        <v>87</v>
      </c>
      <c r="F28" s="34" t="s">
        <v>161</v>
      </c>
      <c r="G28" s="30" t="s">
        <v>36</v>
      </c>
      <c r="H28" s="27" t="s">
        <v>37</v>
      </c>
      <c r="I28" s="27" t="s">
        <v>38</v>
      </c>
      <c r="J28" s="27" t="s">
        <v>116</v>
      </c>
      <c r="K28" s="27" t="s">
        <v>117</v>
      </c>
      <c r="L28" s="35">
        <v>43035</v>
      </c>
      <c r="M28" s="35">
        <v>43035</v>
      </c>
      <c r="N28" s="31">
        <f>985.25/2</f>
        <v>492.625</v>
      </c>
      <c r="O28" s="31">
        <f>985.25/2</f>
        <v>492.625</v>
      </c>
      <c r="P28" s="31">
        <f t="shared" si="4"/>
        <v>985.25</v>
      </c>
      <c r="Q28" s="27"/>
      <c r="R28" s="31"/>
      <c r="S28" s="27"/>
      <c r="T28" s="31"/>
      <c r="U28" s="32">
        <f t="shared" si="5"/>
        <v>0</v>
      </c>
      <c r="V28" s="31">
        <f t="shared" si="6"/>
        <v>985.25</v>
      </c>
      <c r="W28" s="31">
        <f t="shared" si="7"/>
        <v>985.25</v>
      </c>
      <c r="X28" s="33"/>
    </row>
    <row r="29" spans="1:24" ht="25.5">
      <c r="A29" s="27" t="s">
        <v>44</v>
      </c>
      <c r="B29" s="27" t="s">
        <v>162</v>
      </c>
      <c r="C29" s="27" t="s">
        <v>76</v>
      </c>
      <c r="D29" s="29" t="s">
        <v>107</v>
      </c>
      <c r="E29" s="14" t="s">
        <v>78</v>
      </c>
      <c r="F29" s="34" t="s">
        <v>176</v>
      </c>
      <c r="G29" s="30" t="s">
        <v>36</v>
      </c>
      <c r="H29" s="27" t="s">
        <v>37</v>
      </c>
      <c r="I29" s="27" t="s">
        <v>38</v>
      </c>
      <c r="J29" s="27" t="s">
        <v>39</v>
      </c>
      <c r="K29" s="31" t="s">
        <v>40</v>
      </c>
      <c r="L29" s="35">
        <v>43038</v>
      </c>
      <c r="M29" s="35">
        <v>43039</v>
      </c>
      <c r="N29" s="31">
        <f>926.99/2</f>
        <v>463.495</v>
      </c>
      <c r="O29" s="31">
        <f>926.99/2</f>
        <v>463.495</v>
      </c>
      <c r="P29" s="31">
        <f t="shared" si="4"/>
        <v>926.99</v>
      </c>
      <c r="Q29" s="27">
        <v>2</v>
      </c>
      <c r="R29" s="31">
        <v>120</v>
      </c>
      <c r="S29" s="27"/>
      <c r="T29" s="31"/>
      <c r="U29" s="32">
        <f t="shared" si="5"/>
        <v>240</v>
      </c>
      <c r="V29" s="31">
        <f t="shared" si="6"/>
        <v>1166.99</v>
      </c>
      <c r="W29" s="31">
        <f t="shared" si="7"/>
        <v>1166.99</v>
      </c>
      <c r="X29" s="33"/>
    </row>
    <row r="30" spans="1:24" ht="38.25">
      <c r="A30" s="27" t="s">
        <v>44</v>
      </c>
      <c r="B30" s="27" t="s">
        <v>44</v>
      </c>
      <c r="C30" s="27" t="s">
        <v>79</v>
      </c>
      <c r="D30" s="29" t="s">
        <v>107</v>
      </c>
      <c r="E30" s="20" t="s">
        <v>80</v>
      </c>
      <c r="F30" s="34" t="s">
        <v>176</v>
      </c>
      <c r="G30" s="30" t="s">
        <v>36</v>
      </c>
      <c r="H30" s="27" t="s">
        <v>37</v>
      </c>
      <c r="I30" s="27" t="s">
        <v>38</v>
      </c>
      <c r="J30" s="27" t="s">
        <v>39</v>
      </c>
      <c r="K30" s="31" t="s">
        <v>40</v>
      </c>
      <c r="L30" s="35">
        <v>43038</v>
      </c>
      <c r="M30" s="35">
        <v>43039</v>
      </c>
      <c r="N30" s="31">
        <f>1643.19/2</f>
        <v>821.59500000000003</v>
      </c>
      <c r="O30" s="31">
        <f>1643.19/2</f>
        <v>821.59500000000003</v>
      </c>
      <c r="P30" s="31">
        <f t="shared" si="4"/>
        <v>1643.19</v>
      </c>
      <c r="Q30" s="27"/>
      <c r="R30" s="31"/>
      <c r="S30" s="27"/>
      <c r="T30" s="31"/>
      <c r="U30" s="32">
        <f t="shared" si="5"/>
        <v>0</v>
      </c>
      <c r="V30" s="31">
        <f t="shared" si="6"/>
        <v>1643.19</v>
      </c>
      <c r="W30" s="31">
        <f t="shared" si="7"/>
        <v>1643.19</v>
      </c>
      <c r="X30" s="33"/>
    </row>
    <row r="31" spans="1:24" ht="25.5">
      <c r="A31" s="27" t="s">
        <v>52</v>
      </c>
      <c r="B31" s="27" t="s">
        <v>52</v>
      </c>
      <c r="C31" s="27" t="s">
        <v>86</v>
      </c>
      <c r="D31" s="29" t="s">
        <v>107</v>
      </c>
      <c r="E31" s="20" t="s">
        <v>87</v>
      </c>
      <c r="F31" s="34" t="s">
        <v>51</v>
      </c>
      <c r="G31" s="30" t="s">
        <v>36</v>
      </c>
      <c r="H31" s="27" t="s">
        <v>37</v>
      </c>
      <c r="I31" s="27" t="s">
        <v>38</v>
      </c>
      <c r="J31" s="27" t="s">
        <v>39</v>
      </c>
      <c r="K31" s="31" t="s">
        <v>40</v>
      </c>
      <c r="L31" s="35">
        <v>43039</v>
      </c>
      <c r="M31" s="35">
        <v>43039</v>
      </c>
      <c r="N31" s="31">
        <f>1643.2/2</f>
        <v>821.6</v>
      </c>
      <c r="O31" s="31">
        <f>1643.2/2</f>
        <v>821.6</v>
      </c>
      <c r="P31" s="31">
        <f t="shared" si="4"/>
        <v>1643.2</v>
      </c>
      <c r="Q31" s="27"/>
      <c r="R31" s="31"/>
      <c r="S31" s="27"/>
      <c r="T31" s="31"/>
      <c r="U31" s="32">
        <f t="shared" si="5"/>
        <v>0</v>
      </c>
      <c r="V31" s="31">
        <f t="shared" si="6"/>
        <v>1643.2</v>
      </c>
      <c r="W31" s="31">
        <f t="shared" si="7"/>
        <v>1643.2</v>
      </c>
      <c r="X31" s="33"/>
    </row>
    <row r="32" spans="1:24" ht="25.5">
      <c r="A32" s="27" t="s">
        <v>31</v>
      </c>
      <c r="B32" s="27" t="s">
        <v>31</v>
      </c>
      <c r="C32" s="27" t="s">
        <v>49</v>
      </c>
      <c r="D32" s="29" t="s">
        <v>107</v>
      </c>
      <c r="E32" s="20" t="s">
        <v>50</v>
      </c>
      <c r="F32" s="34" t="s">
        <v>51</v>
      </c>
      <c r="G32" s="30" t="s">
        <v>36</v>
      </c>
      <c r="H32" s="27" t="s">
        <v>37</v>
      </c>
      <c r="I32" s="27" t="s">
        <v>38</v>
      </c>
      <c r="J32" s="27" t="s">
        <v>39</v>
      </c>
      <c r="K32" s="31" t="s">
        <v>40</v>
      </c>
      <c r="L32" s="35">
        <v>43038</v>
      </c>
      <c r="M32" s="35">
        <v>43040</v>
      </c>
      <c r="N32" s="31">
        <f>926.98/2</f>
        <v>463.49</v>
      </c>
      <c r="O32" s="31">
        <f>926.98/2</f>
        <v>463.49</v>
      </c>
      <c r="P32" s="31">
        <f t="shared" si="4"/>
        <v>926.98</v>
      </c>
      <c r="Q32" s="27"/>
      <c r="R32" s="31"/>
      <c r="S32" s="27"/>
      <c r="T32" s="31"/>
      <c r="U32" s="32">
        <f t="shared" si="5"/>
        <v>0</v>
      </c>
      <c r="V32" s="31">
        <f t="shared" si="6"/>
        <v>926.98</v>
      </c>
      <c r="W32" s="31">
        <f t="shared" si="7"/>
        <v>926.98</v>
      </c>
      <c r="X32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X14"/>
  <sheetViews>
    <sheetView workbookViewId="0">
      <selection activeCell="E30" sqref="E30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6" t="s">
        <v>1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</row>
    <row r="2" spans="1:24" ht="15">
      <c r="A2" s="96" t="s">
        <v>2</v>
      </c>
      <c r="B2" s="96"/>
      <c r="C2" s="96" t="s">
        <v>3</v>
      </c>
      <c r="D2" s="96"/>
      <c r="E2" s="96"/>
      <c r="F2" s="96" t="s">
        <v>4</v>
      </c>
      <c r="G2" s="96"/>
      <c r="H2" s="96"/>
      <c r="I2" s="96"/>
      <c r="J2" s="96"/>
      <c r="K2" s="96"/>
      <c r="L2" s="96"/>
      <c r="M2" s="96"/>
      <c r="N2" s="96" t="s">
        <v>5</v>
      </c>
      <c r="O2" s="96"/>
      <c r="P2" s="96"/>
      <c r="Q2" s="96" t="s">
        <v>6</v>
      </c>
      <c r="R2" s="96"/>
      <c r="S2" s="96"/>
      <c r="T2" s="96"/>
      <c r="U2" s="96"/>
      <c r="V2" s="96"/>
      <c r="W2" s="96" t="s">
        <v>7</v>
      </c>
      <c r="X2" s="149" t="s">
        <v>8</v>
      </c>
    </row>
    <row r="3" spans="1:24" ht="15">
      <c r="A3" s="97" t="s">
        <v>9</v>
      </c>
      <c r="B3" s="97" t="s">
        <v>10</v>
      </c>
      <c r="C3" s="97" t="s">
        <v>11</v>
      </c>
      <c r="D3" s="97" t="s">
        <v>12</v>
      </c>
      <c r="E3" s="97" t="s">
        <v>13</v>
      </c>
      <c r="F3" s="97" t="s">
        <v>14</v>
      </c>
      <c r="G3" s="97" t="s">
        <v>15</v>
      </c>
      <c r="H3" s="97" t="s">
        <v>16</v>
      </c>
      <c r="I3" s="97"/>
      <c r="J3" s="98" t="s">
        <v>17</v>
      </c>
      <c r="K3" s="98"/>
      <c r="L3" s="97" t="s">
        <v>18</v>
      </c>
      <c r="M3" s="97" t="s">
        <v>19</v>
      </c>
      <c r="N3" s="98" t="s">
        <v>20</v>
      </c>
      <c r="O3" s="98" t="s">
        <v>21</v>
      </c>
      <c r="P3" s="98" t="s">
        <v>22</v>
      </c>
      <c r="Q3" s="98" t="s">
        <v>23</v>
      </c>
      <c r="R3" s="98"/>
      <c r="S3" s="98" t="s">
        <v>24</v>
      </c>
      <c r="T3" s="98"/>
      <c r="U3" s="97" t="s">
        <v>25</v>
      </c>
      <c r="V3" s="98" t="s">
        <v>22</v>
      </c>
      <c r="W3" s="96"/>
      <c r="X3" s="149"/>
    </row>
    <row r="4" spans="1:24" ht="15">
      <c r="A4" s="97"/>
      <c r="B4" s="97"/>
      <c r="C4" s="97"/>
      <c r="D4" s="97"/>
      <c r="E4" s="97"/>
      <c r="F4" s="97"/>
      <c r="G4" s="97"/>
      <c r="H4" s="10" t="s">
        <v>26</v>
      </c>
      <c r="I4" s="10" t="s">
        <v>27</v>
      </c>
      <c r="J4" s="10" t="s">
        <v>26</v>
      </c>
      <c r="K4" s="11" t="s">
        <v>28</v>
      </c>
      <c r="L4" s="97"/>
      <c r="M4" s="97"/>
      <c r="N4" s="98"/>
      <c r="O4" s="98"/>
      <c r="P4" s="98"/>
      <c r="Q4" s="10" t="s">
        <v>29</v>
      </c>
      <c r="R4" s="11" t="s">
        <v>30</v>
      </c>
      <c r="S4" s="10" t="s">
        <v>29</v>
      </c>
      <c r="T4" s="11" t="s">
        <v>30</v>
      </c>
      <c r="U4" s="97"/>
      <c r="V4" s="98"/>
      <c r="W4" s="96"/>
      <c r="X4" s="150"/>
    </row>
    <row r="5" spans="1:24" ht="15">
      <c r="A5" s="94"/>
      <c r="B5" s="94"/>
      <c r="C5" s="94"/>
      <c r="D5" s="56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11" spans="1:24">
      <c r="Q11" s="83"/>
    </row>
    <row r="12" spans="1:24">
      <c r="Q12" s="83"/>
    </row>
    <row r="13" spans="1:24">
      <c r="Q13" s="83"/>
    </row>
    <row r="14" spans="1:24">
      <c r="Q14" s="8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X14"/>
  <sheetViews>
    <sheetView workbookViewId="0">
      <selection activeCell="C32" sqref="C32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6" t="s">
        <v>1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</row>
    <row r="2" spans="1:24" ht="15">
      <c r="A2" s="96" t="s">
        <v>2</v>
      </c>
      <c r="B2" s="96"/>
      <c r="C2" s="96" t="s">
        <v>3</v>
      </c>
      <c r="D2" s="96"/>
      <c r="E2" s="96"/>
      <c r="F2" s="96" t="s">
        <v>4</v>
      </c>
      <c r="G2" s="96"/>
      <c r="H2" s="96"/>
      <c r="I2" s="96"/>
      <c r="J2" s="96"/>
      <c r="K2" s="96"/>
      <c r="L2" s="96"/>
      <c r="M2" s="96"/>
      <c r="N2" s="96" t="s">
        <v>5</v>
      </c>
      <c r="O2" s="96"/>
      <c r="P2" s="96"/>
      <c r="Q2" s="96" t="s">
        <v>6</v>
      </c>
      <c r="R2" s="96"/>
      <c r="S2" s="96"/>
      <c r="T2" s="96"/>
      <c r="U2" s="96"/>
      <c r="V2" s="96"/>
      <c r="W2" s="96" t="s">
        <v>7</v>
      </c>
      <c r="X2" s="149" t="s">
        <v>8</v>
      </c>
    </row>
    <row r="3" spans="1:24" ht="15">
      <c r="A3" s="97" t="s">
        <v>9</v>
      </c>
      <c r="B3" s="97" t="s">
        <v>10</v>
      </c>
      <c r="C3" s="97" t="s">
        <v>11</v>
      </c>
      <c r="D3" s="97" t="s">
        <v>12</v>
      </c>
      <c r="E3" s="97" t="s">
        <v>13</v>
      </c>
      <c r="F3" s="97" t="s">
        <v>14</v>
      </c>
      <c r="G3" s="97" t="s">
        <v>15</v>
      </c>
      <c r="H3" s="97" t="s">
        <v>16</v>
      </c>
      <c r="I3" s="97"/>
      <c r="J3" s="98" t="s">
        <v>17</v>
      </c>
      <c r="K3" s="98"/>
      <c r="L3" s="97" t="s">
        <v>18</v>
      </c>
      <c r="M3" s="97" t="s">
        <v>19</v>
      </c>
      <c r="N3" s="98" t="s">
        <v>20</v>
      </c>
      <c r="O3" s="98" t="s">
        <v>21</v>
      </c>
      <c r="P3" s="98" t="s">
        <v>22</v>
      </c>
      <c r="Q3" s="98" t="s">
        <v>23</v>
      </c>
      <c r="R3" s="98"/>
      <c r="S3" s="98" t="s">
        <v>24</v>
      </c>
      <c r="T3" s="98"/>
      <c r="U3" s="97" t="s">
        <v>25</v>
      </c>
      <c r="V3" s="98" t="s">
        <v>22</v>
      </c>
      <c r="W3" s="96"/>
      <c r="X3" s="149"/>
    </row>
    <row r="4" spans="1:24" ht="15">
      <c r="A4" s="97"/>
      <c r="B4" s="97"/>
      <c r="C4" s="97"/>
      <c r="D4" s="97"/>
      <c r="E4" s="97"/>
      <c r="F4" s="97"/>
      <c r="G4" s="97"/>
      <c r="H4" s="10" t="s">
        <v>26</v>
      </c>
      <c r="I4" s="10" t="s">
        <v>27</v>
      </c>
      <c r="J4" s="10" t="s">
        <v>26</v>
      </c>
      <c r="K4" s="11" t="s">
        <v>28</v>
      </c>
      <c r="L4" s="97"/>
      <c r="M4" s="97"/>
      <c r="N4" s="98"/>
      <c r="O4" s="98"/>
      <c r="P4" s="98"/>
      <c r="Q4" s="10" t="s">
        <v>29</v>
      </c>
      <c r="R4" s="11" t="s">
        <v>30</v>
      </c>
      <c r="S4" s="10" t="s">
        <v>29</v>
      </c>
      <c r="T4" s="11" t="s">
        <v>30</v>
      </c>
      <c r="U4" s="97"/>
      <c r="V4" s="98"/>
      <c r="W4" s="96"/>
      <c r="X4" s="150"/>
    </row>
    <row r="5" spans="1:24" ht="15">
      <c r="A5" s="94"/>
      <c r="B5" s="94"/>
      <c r="C5" s="94"/>
      <c r="D5" s="56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11" spans="1:24">
      <c r="Q11" s="83"/>
    </row>
    <row r="12" spans="1:24">
      <c r="Q12" s="83"/>
    </row>
    <row r="13" spans="1:24">
      <c r="Q13" s="83"/>
    </row>
    <row r="14" spans="1:24">
      <c r="Q14" s="8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X16"/>
  <sheetViews>
    <sheetView workbookViewId="0">
      <selection activeCell="G5" sqref="G5:K6"/>
    </sheetView>
  </sheetViews>
  <sheetFormatPr defaultRowHeight="14.25"/>
  <cols>
    <col min="1" max="1" width="38.375" bestFit="1" customWidth="1"/>
    <col min="2" max="2" width="41.5" bestFit="1" customWidth="1"/>
    <col min="3" max="3" width="51.37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6" t="s">
        <v>1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</row>
    <row r="2" spans="1:24" ht="15">
      <c r="A2" s="96" t="s">
        <v>2</v>
      </c>
      <c r="B2" s="96"/>
      <c r="C2" s="96" t="s">
        <v>3</v>
      </c>
      <c r="D2" s="96"/>
      <c r="E2" s="96"/>
      <c r="F2" s="96" t="s">
        <v>4</v>
      </c>
      <c r="G2" s="96"/>
      <c r="H2" s="96"/>
      <c r="I2" s="96"/>
      <c r="J2" s="96"/>
      <c r="K2" s="96"/>
      <c r="L2" s="96"/>
      <c r="M2" s="96"/>
      <c r="N2" s="96" t="s">
        <v>5</v>
      </c>
      <c r="O2" s="96"/>
      <c r="P2" s="96"/>
      <c r="Q2" s="96" t="s">
        <v>6</v>
      </c>
      <c r="R2" s="96"/>
      <c r="S2" s="96"/>
      <c r="T2" s="96"/>
      <c r="U2" s="96"/>
      <c r="V2" s="96"/>
      <c r="W2" s="96" t="s">
        <v>7</v>
      </c>
      <c r="X2" s="149" t="s">
        <v>8</v>
      </c>
    </row>
    <row r="3" spans="1:24" ht="15">
      <c r="A3" s="97" t="s">
        <v>9</v>
      </c>
      <c r="B3" s="97" t="s">
        <v>10</v>
      </c>
      <c r="C3" s="97" t="s">
        <v>11</v>
      </c>
      <c r="D3" s="97" t="s">
        <v>12</v>
      </c>
      <c r="E3" s="97" t="s">
        <v>13</v>
      </c>
      <c r="F3" s="97" t="s">
        <v>14</v>
      </c>
      <c r="G3" s="97" t="s">
        <v>15</v>
      </c>
      <c r="H3" s="97" t="s">
        <v>16</v>
      </c>
      <c r="I3" s="97"/>
      <c r="J3" s="98" t="s">
        <v>17</v>
      </c>
      <c r="K3" s="98"/>
      <c r="L3" s="97" t="s">
        <v>18</v>
      </c>
      <c r="M3" s="97" t="s">
        <v>19</v>
      </c>
      <c r="N3" s="98" t="s">
        <v>20</v>
      </c>
      <c r="O3" s="98" t="s">
        <v>21</v>
      </c>
      <c r="P3" s="98" t="s">
        <v>22</v>
      </c>
      <c r="Q3" s="98" t="s">
        <v>23</v>
      </c>
      <c r="R3" s="98"/>
      <c r="S3" s="98" t="s">
        <v>24</v>
      </c>
      <c r="T3" s="98"/>
      <c r="U3" s="97" t="s">
        <v>25</v>
      </c>
      <c r="V3" s="98" t="s">
        <v>22</v>
      </c>
      <c r="W3" s="96"/>
      <c r="X3" s="149"/>
    </row>
    <row r="4" spans="1:24" ht="15">
      <c r="A4" s="151"/>
      <c r="B4" s="151"/>
      <c r="C4" s="151"/>
      <c r="D4" s="151"/>
      <c r="E4" s="151"/>
      <c r="F4" s="151"/>
      <c r="G4" s="151"/>
      <c r="H4" s="10" t="s">
        <v>26</v>
      </c>
      <c r="I4" s="10" t="s">
        <v>27</v>
      </c>
      <c r="J4" s="10" t="s">
        <v>26</v>
      </c>
      <c r="K4" s="11" t="s">
        <v>28</v>
      </c>
      <c r="L4" s="151"/>
      <c r="M4" s="151"/>
      <c r="N4" s="152"/>
      <c r="O4" s="152"/>
      <c r="P4" s="152"/>
      <c r="Q4" s="10" t="s">
        <v>29</v>
      </c>
      <c r="R4" s="11" t="s">
        <v>30</v>
      </c>
      <c r="S4" s="10" t="s">
        <v>29</v>
      </c>
      <c r="T4" s="11" t="s">
        <v>30</v>
      </c>
      <c r="U4" s="151"/>
      <c r="V4" s="152"/>
      <c r="W4" s="153"/>
      <c r="X4" s="150"/>
    </row>
    <row r="5" spans="1:24">
      <c r="A5" s="44"/>
      <c r="B5" s="44"/>
      <c r="C5" s="44"/>
      <c r="D5" s="56"/>
      <c r="E5" s="66"/>
      <c r="F5" s="53"/>
      <c r="G5" s="53"/>
      <c r="H5" s="53"/>
      <c r="I5" s="44"/>
      <c r="J5" s="53"/>
      <c r="K5" s="44"/>
      <c r="L5" s="69"/>
      <c r="M5" s="69"/>
      <c r="N5" s="70"/>
      <c r="O5" s="70"/>
      <c r="P5" s="70">
        <f>SUM(N5:O5)</f>
        <v>0</v>
      </c>
      <c r="Q5" s="53">
        <v>0</v>
      </c>
      <c r="R5" s="70">
        <v>0</v>
      </c>
      <c r="S5" s="53">
        <v>0</v>
      </c>
      <c r="T5" s="70">
        <v>0</v>
      </c>
      <c r="U5" s="70">
        <f>(Q5*R5)+(S5*T5)</f>
        <v>0</v>
      </c>
      <c r="V5" s="70">
        <f>U5+P5</f>
        <v>0</v>
      </c>
      <c r="W5" s="70">
        <f>V5</f>
        <v>0</v>
      </c>
      <c r="X5" s="53"/>
    </row>
    <row r="6" spans="1:24">
      <c r="A6" s="44"/>
      <c r="B6" s="44"/>
      <c r="C6" s="44"/>
      <c r="D6" s="56"/>
      <c r="E6" s="66"/>
      <c r="F6" s="53"/>
      <c r="G6" s="53"/>
      <c r="H6" s="53"/>
      <c r="I6" s="44"/>
      <c r="J6" s="53"/>
      <c r="K6" s="53"/>
      <c r="L6" s="69"/>
      <c r="M6" s="69"/>
      <c r="N6" s="70"/>
      <c r="O6" s="70"/>
      <c r="P6" s="70">
        <f t="shared" ref="P6:P7" si="0">SUM(N6:O6)</f>
        <v>0</v>
      </c>
      <c r="Q6" s="53">
        <v>0</v>
      </c>
      <c r="R6" s="70">
        <v>0</v>
      </c>
      <c r="S6" s="53">
        <v>0</v>
      </c>
      <c r="T6" s="70">
        <v>0</v>
      </c>
      <c r="U6" s="70">
        <f t="shared" ref="U6:U7" si="1">(Q6*R6)+(S6*T6)</f>
        <v>0</v>
      </c>
      <c r="V6" s="70">
        <f t="shared" ref="V6:V7" si="2">U6+P6</f>
        <v>0</v>
      </c>
      <c r="W6" s="70">
        <f t="shared" ref="W6:W7" si="3">V6</f>
        <v>0</v>
      </c>
      <c r="X6" s="53"/>
    </row>
    <row r="7" spans="1:24">
      <c r="A7" s="44"/>
      <c r="B7" s="44"/>
      <c r="C7" s="44"/>
      <c r="D7" s="56"/>
      <c r="E7" s="66"/>
      <c r="F7" s="53"/>
      <c r="G7" s="53"/>
      <c r="H7" s="53"/>
      <c r="I7" s="44"/>
      <c r="J7" s="53"/>
      <c r="K7" s="53"/>
      <c r="L7" s="69"/>
      <c r="M7" s="69"/>
      <c r="N7" s="70"/>
      <c r="O7" s="70"/>
      <c r="P7" s="70">
        <f t="shared" si="0"/>
        <v>0</v>
      </c>
      <c r="Q7" s="53">
        <v>0</v>
      </c>
      <c r="R7" s="70">
        <v>0</v>
      </c>
      <c r="S7" s="53">
        <v>0</v>
      </c>
      <c r="T7" s="70">
        <v>0</v>
      </c>
      <c r="U7" s="70">
        <f t="shared" si="1"/>
        <v>0</v>
      </c>
      <c r="V7" s="70">
        <f t="shared" si="2"/>
        <v>0</v>
      </c>
      <c r="W7" s="70">
        <f t="shared" si="3"/>
        <v>0</v>
      </c>
      <c r="X7" s="53" t="s">
        <v>77</v>
      </c>
    </row>
    <row r="13" spans="1:24">
      <c r="Q13" s="83"/>
    </row>
    <row r="14" spans="1:24">
      <c r="Q14" s="83"/>
    </row>
    <row r="15" spans="1:24">
      <c r="Q15" s="83"/>
    </row>
    <row r="16" spans="1:24">
      <c r="Q16" s="8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X15"/>
  <sheetViews>
    <sheetView workbookViewId="0">
      <selection activeCell="D9" sqref="D9:E10"/>
    </sheetView>
  </sheetViews>
  <sheetFormatPr defaultRowHeight="14.25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55.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6" t="s">
        <v>1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</row>
    <row r="2" spans="1:24" ht="15">
      <c r="A2" s="96" t="s">
        <v>2</v>
      </c>
      <c r="B2" s="96"/>
      <c r="C2" s="96" t="s">
        <v>3</v>
      </c>
      <c r="D2" s="96"/>
      <c r="E2" s="96"/>
      <c r="F2" s="96" t="s">
        <v>4</v>
      </c>
      <c r="G2" s="96"/>
      <c r="H2" s="96"/>
      <c r="I2" s="96"/>
      <c r="J2" s="96"/>
      <c r="K2" s="96"/>
      <c r="L2" s="96"/>
      <c r="M2" s="96"/>
      <c r="N2" s="96" t="s">
        <v>5</v>
      </c>
      <c r="O2" s="96"/>
      <c r="P2" s="96"/>
      <c r="Q2" s="96" t="s">
        <v>6</v>
      </c>
      <c r="R2" s="96"/>
      <c r="S2" s="96"/>
      <c r="T2" s="96"/>
      <c r="U2" s="96"/>
      <c r="V2" s="96"/>
      <c r="W2" s="96" t="s">
        <v>7</v>
      </c>
      <c r="X2" s="149" t="s">
        <v>8</v>
      </c>
    </row>
    <row r="3" spans="1:24" ht="15">
      <c r="A3" s="97" t="s">
        <v>9</v>
      </c>
      <c r="B3" s="97" t="s">
        <v>10</v>
      </c>
      <c r="C3" s="97" t="s">
        <v>11</v>
      </c>
      <c r="D3" s="97" t="s">
        <v>12</v>
      </c>
      <c r="E3" s="97" t="s">
        <v>13</v>
      </c>
      <c r="F3" s="97" t="s">
        <v>14</v>
      </c>
      <c r="G3" s="97" t="s">
        <v>15</v>
      </c>
      <c r="H3" s="97" t="s">
        <v>16</v>
      </c>
      <c r="I3" s="97"/>
      <c r="J3" s="98" t="s">
        <v>17</v>
      </c>
      <c r="K3" s="98"/>
      <c r="L3" s="97" t="s">
        <v>18</v>
      </c>
      <c r="M3" s="97" t="s">
        <v>19</v>
      </c>
      <c r="N3" s="98" t="s">
        <v>20</v>
      </c>
      <c r="O3" s="98" t="s">
        <v>21</v>
      </c>
      <c r="P3" s="98" t="s">
        <v>22</v>
      </c>
      <c r="Q3" s="98" t="s">
        <v>23</v>
      </c>
      <c r="R3" s="98"/>
      <c r="S3" s="98" t="s">
        <v>24</v>
      </c>
      <c r="T3" s="98"/>
      <c r="U3" s="97" t="s">
        <v>25</v>
      </c>
      <c r="V3" s="98" t="s">
        <v>22</v>
      </c>
      <c r="W3" s="96"/>
      <c r="X3" s="149"/>
    </row>
    <row r="4" spans="1:24" ht="15">
      <c r="A4" s="151"/>
      <c r="B4" s="151"/>
      <c r="C4" s="151"/>
      <c r="D4" s="151"/>
      <c r="E4" s="151"/>
      <c r="F4" s="151"/>
      <c r="G4" s="151"/>
      <c r="H4" s="10" t="s">
        <v>26</v>
      </c>
      <c r="I4" s="10" t="s">
        <v>27</v>
      </c>
      <c r="J4" s="10" t="s">
        <v>26</v>
      </c>
      <c r="K4" s="11" t="s">
        <v>28</v>
      </c>
      <c r="L4" s="151"/>
      <c r="M4" s="151"/>
      <c r="N4" s="152"/>
      <c r="O4" s="152"/>
      <c r="P4" s="152"/>
      <c r="Q4" s="10" t="s">
        <v>29</v>
      </c>
      <c r="R4" s="11" t="s">
        <v>30</v>
      </c>
      <c r="S4" s="10" t="s">
        <v>29</v>
      </c>
      <c r="T4" s="11" t="s">
        <v>30</v>
      </c>
      <c r="U4" s="151"/>
      <c r="V4" s="152"/>
      <c r="W4" s="153"/>
      <c r="X4" s="150"/>
    </row>
    <row r="5" spans="1:24" ht="15">
      <c r="A5" s="94" t="s">
        <v>253</v>
      </c>
      <c r="B5" s="94" t="s">
        <v>234</v>
      </c>
      <c r="C5" s="94" t="s">
        <v>576</v>
      </c>
      <c r="D5" s="94">
        <v>285</v>
      </c>
      <c r="E5" s="94" t="s">
        <v>577</v>
      </c>
      <c r="F5" s="94" t="s">
        <v>578</v>
      </c>
      <c r="G5" s="94" t="s">
        <v>36</v>
      </c>
      <c r="H5" s="94" t="s">
        <v>37</v>
      </c>
      <c r="I5" s="94" t="s">
        <v>38</v>
      </c>
      <c r="J5" s="94" t="s">
        <v>37</v>
      </c>
      <c r="K5" s="94" t="s">
        <v>391</v>
      </c>
      <c r="L5" s="69">
        <v>44304</v>
      </c>
      <c r="M5" s="69">
        <v>44309</v>
      </c>
      <c r="N5" s="70">
        <f>1104.13/2</f>
        <v>552.06500000000005</v>
      </c>
      <c r="O5" s="70">
        <f>1104.13/2</f>
        <v>552.06500000000005</v>
      </c>
      <c r="P5" s="70">
        <f>SUM(N5:O5)</f>
        <v>1104.1300000000001</v>
      </c>
      <c r="Q5" s="53">
        <v>6</v>
      </c>
      <c r="R5" s="70">
        <v>120</v>
      </c>
      <c r="S5" s="53">
        <v>0</v>
      </c>
      <c r="T5" s="70">
        <v>0</v>
      </c>
      <c r="U5" s="70">
        <f>(Q5*R5)+(S5*T5)</f>
        <v>720</v>
      </c>
      <c r="V5" s="70">
        <f>U5+P5</f>
        <v>1824.13</v>
      </c>
      <c r="W5" s="70">
        <f>V5</f>
        <v>1824.13</v>
      </c>
      <c r="X5" s="53"/>
    </row>
    <row r="6" spans="1:24" ht="15">
      <c r="A6" s="94" t="s">
        <v>253</v>
      </c>
      <c r="B6" s="94" t="s">
        <v>234</v>
      </c>
      <c r="C6" s="94" t="s">
        <v>579</v>
      </c>
      <c r="D6" s="94">
        <v>218</v>
      </c>
      <c r="E6" s="94" t="s">
        <v>580</v>
      </c>
      <c r="F6" s="94" t="s">
        <v>578</v>
      </c>
      <c r="G6" s="94" t="s">
        <v>36</v>
      </c>
      <c r="H6" s="94" t="s">
        <v>37</v>
      </c>
      <c r="I6" s="94" t="s">
        <v>38</v>
      </c>
      <c r="J6" s="94" t="s">
        <v>37</v>
      </c>
      <c r="K6" s="94" t="s">
        <v>391</v>
      </c>
      <c r="L6" s="69">
        <v>44304</v>
      </c>
      <c r="M6" s="69">
        <v>44309</v>
      </c>
      <c r="N6" s="70">
        <f>1104.13/2</f>
        <v>552.06500000000005</v>
      </c>
      <c r="O6" s="70">
        <f>1104.13/2</f>
        <v>552.06500000000005</v>
      </c>
      <c r="P6" s="70">
        <f t="shared" ref="P6:P7" si="0">SUM(N6:O6)</f>
        <v>1104.1300000000001</v>
      </c>
      <c r="Q6" s="53">
        <v>6</v>
      </c>
      <c r="R6" s="70">
        <v>120</v>
      </c>
      <c r="S6" s="53">
        <v>0</v>
      </c>
      <c r="T6" s="70">
        <v>0</v>
      </c>
      <c r="U6" s="70">
        <f t="shared" ref="U6:U7" si="1">(Q6*R6)+(S6*T6)</f>
        <v>720</v>
      </c>
      <c r="V6" s="70">
        <f t="shared" ref="V6:V7" si="2">U6+P6</f>
        <v>1824.13</v>
      </c>
      <c r="W6" s="70">
        <f t="shared" ref="W6:W7" si="3">V6</f>
        <v>1824.13</v>
      </c>
      <c r="X6" s="53"/>
    </row>
    <row r="7" spans="1:24" ht="15">
      <c r="A7" s="167" t="s">
        <v>253</v>
      </c>
      <c r="B7" s="167" t="s">
        <v>259</v>
      </c>
      <c r="C7" s="167" t="s">
        <v>185</v>
      </c>
      <c r="D7" s="167">
        <v>119</v>
      </c>
      <c r="E7" s="158" t="s">
        <v>581</v>
      </c>
      <c r="F7" s="167" t="s">
        <v>582</v>
      </c>
      <c r="G7" s="94" t="s">
        <v>36</v>
      </c>
      <c r="H7" s="94" t="s">
        <v>37</v>
      </c>
      <c r="I7" s="94" t="s">
        <v>38</v>
      </c>
      <c r="J7" s="94" t="s">
        <v>37</v>
      </c>
      <c r="K7" s="94" t="s">
        <v>583</v>
      </c>
      <c r="L7" s="69">
        <v>44312</v>
      </c>
      <c r="M7" s="69">
        <v>44313</v>
      </c>
      <c r="N7" s="159">
        <v>0</v>
      </c>
      <c r="O7" s="159">
        <v>0</v>
      </c>
      <c r="P7" s="154">
        <f t="shared" si="0"/>
        <v>0</v>
      </c>
      <c r="Q7" s="156">
        <v>5</v>
      </c>
      <c r="R7" s="160">
        <v>120</v>
      </c>
      <c r="S7" s="156">
        <v>0</v>
      </c>
      <c r="T7" s="160">
        <v>0</v>
      </c>
      <c r="U7" s="154">
        <f t="shared" si="1"/>
        <v>600</v>
      </c>
      <c r="V7" s="154">
        <f t="shared" si="2"/>
        <v>600</v>
      </c>
      <c r="W7" s="154">
        <f t="shared" si="3"/>
        <v>600</v>
      </c>
      <c r="X7" s="156"/>
    </row>
    <row r="8" spans="1:24" ht="15">
      <c r="A8" s="168"/>
      <c r="B8" s="168"/>
      <c r="C8" s="168"/>
      <c r="D8" s="168"/>
      <c r="E8" s="158"/>
      <c r="F8" s="168"/>
      <c r="G8" s="94" t="s">
        <v>36</v>
      </c>
      <c r="H8" s="94" t="s">
        <v>37</v>
      </c>
      <c r="I8" s="94" t="s">
        <v>38</v>
      </c>
      <c r="J8" s="94" t="s">
        <v>37</v>
      </c>
      <c r="K8" s="94" t="s">
        <v>391</v>
      </c>
      <c r="L8" s="69">
        <v>44313</v>
      </c>
      <c r="M8" s="69">
        <v>44316</v>
      </c>
      <c r="N8" s="159"/>
      <c r="O8" s="159"/>
      <c r="P8" s="155"/>
      <c r="Q8" s="157"/>
      <c r="R8" s="161"/>
      <c r="S8" s="157"/>
      <c r="T8" s="161"/>
      <c r="U8" s="155"/>
      <c r="V8" s="155"/>
      <c r="W8" s="155"/>
      <c r="X8" s="157"/>
    </row>
    <row r="9" spans="1:24" ht="15">
      <c r="A9" s="167" t="s">
        <v>253</v>
      </c>
      <c r="B9" s="167" t="s">
        <v>212</v>
      </c>
      <c r="C9" s="167" t="s">
        <v>270</v>
      </c>
      <c r="D9" s="167">
        <v>158</v>
      </c>
      <c r="E9" s="158" t="s">
        <v>584</v>
      </c>
      <c r="F9" s="167" t="s">
        <v>585</v>
      </c>
      <c r="G9" s="94" t="s">
        <v>36</v>
      </c>
      <c r="H9" s="94" t="s">
        <v>37</v>
      </c>
      <c r="I9" s="94" t="s">
        <v>38</v>
      </c>
      <c r="J9" s="94" t="s">
        <v>37</v>
      </c>
      <c r="K9" s="94" t="s">
        <v>583</v>
      </c>
      <c r="L9" s="69">
        <v>44312</v>
      </c>
      <c r="M9" s="69">
        <v>44313</v>
      </c>
      <c r="N9" s="159">
        <v>0</v>
      </c>
      <c r="O9" s="159">
        <v>0</v>
      </c>
      <c r="P9" s="154">
        <f t="shared" ref="P9" si="4">SUM(N9:O9)</f>
        <v>0</v>
      </c>
      <c r="Q9" s="156">
        <v>5</v>
      </c>
      <c r="R9" s="160">
        <v>120</v>
      </c>
      <c r="S9" s="156">
        <v>0</v>
      </c>
      <c r="T9" s="160">
        <v>0</v>
      </c>
      <c r="U9" s="154">
        <f t="shared" ref="U9" si="5">(Q9*R9)+(S9*T9)</f>
        <v>600</v>
      </c>
      <c r="V9" s="154">
        <f t="shared" ref="V9" si="6">U9+P9</f>
        <v>600</v>
      </c>
      <c r="W9" s="154">
        <f t="shared" ref="W9" si="7">V9</f>
        <v>600</v>
      </c>
      <c r="X9" s="156"/>
    </row>
    <row r="10" spans="1:24" ht="15">
      <c r="A10" s="168"/>
      <c r="B10" s="168"/>
      <c r="C10" s="168"/>
      <c r="D10" s="168"/>
      <c r="E10" s="158"/>
      <c r="F10" s="168"/>
      <c r="G10" s="94" t="s">
        <v>36</v>
      </c>
      <c r="H10" s="94" t="s">
        <v>37</v>
      </c>
      <c r="I10" s="94" t="s">
        <v>38</v>
      </c>
      <c r="J10" s="94" t="s">
        <v>37</v>
      </c>
      <c r="K10" s="94" t="s">
        <v>391</v>
      </c>
      <c r="L10" s="69">
        <v>44313</v>
      </c>
      <c r="M10" s="69">
        <v>44316</v>
      </c>
      <c r="N10" s="159"/>
      <c r="O10" s="159"/>
      <c r="P10" s="155"/>
      <c r="Q10" s="157"/>
      <c r="R10" s="161"/>
      <c r="S10" s="157"/>
      <c r="T10" s="161"/>
      <c r="U10" s="155"/>
      <c r="V10" s="155"/>
      <c r="W10" s="155"/>
      <c r="X10" s="157"/>
    </row>
    <row r="12" spans="1:24">
      <c r="Q12" s="83"/>
    </row>
    <row r="13" spans="1:24">
      <c r="Q13" s="83"/>
    </row>
    <row r="14" spans="1:24">
      <c r="Q14" s="83"/>
    </row>
    <row r="15" spans="1:24">
      <c r="Q15" s="83"/>
    </row>
  </sheetData>
  <mergeCells count="60"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F7:F8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7:A8"/>
    <mergeCell ref="B7:B8"/>
    <mergeCell ref="C7:C8"/>
    <mergeCell ref="D7:D8"/>
    <mergeCell ref="E7:E8"/>
    <mergeCell ref="W7:W8"/>
    <mergeCell ref="N7:N8"/>
    <mergeCell ref="O7:O8"/>
    <mergeCell ref="P7:P8"/>
    <mergeCell ref="Q7:Q8"/>
    <mergeCell ref="R7:R8"/>
    <mergeCell ref="U9:U10"/>
    <mergeCell ref="V9:V10"/>
    <mergeCell ref="S7:S8"/>
    <mergeCell ref="T7:T8"/>
    <mergeCell ref="U7:U8"/>
    <mergeCell ref="V7:V8"/>
    <mergeCell ref="W9:W10"/>
    <mergeCell ref="X9:X10"/>
    <mergeCell ref="X7:X8"/>
    <mergeCell ref="A9:A10"/>
    <mergeCell ref="B9:B10"/>
    <mergeCell ref="C9:C10"/>
    <mergeCell ref="D9:D10"/>
    <mergeCell ref="E9:E10"/>
    <mergeCell ref="F9:F10"/>
    <mergeCell ref="N9:N10"/>
    <mergeCell ref="O9:O10"/>
    <mergeCell ref="P9:P10"/>
    <mergeCell ref="Q9:Q10"/>
    <mergeCell ref="R9:R10"/>
    <mergeCell ref="S9:S10"/>
    <mergeCell ref="T9:T10"/>
  </mergeCells>
  <pageMargins left="0.511811024" right="0.511811024" top="0.78740157499999996" bottom="0.78740157499999996" header="0.31496062000000002" footer="0.3149606200000000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X15"/>
  <sheetViews>
    <sheetView workbookViewId="0">
      <selection activeCell="D8" sqref="D8:E8"/>
    </sheetView>
  </sheetViews>
  <sheetFormatPr defaultRowHeight="14.25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6" t="s">
        <v>1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</row>
    <row r="2" spans="1:24" ht="15">
      <c r="A2" s="96" t="s">
        <v>2</v>
      </c>
      <c r="B2" s="96"/>
      <c r="C2" s="96" t="s">
        <v>3</v>
      </c>
      <c r="D2" s="96"/>
      <c r="E2" s="96"/>
      <c r="F2" s="96" t="s">
        <v>4</v>
      </c>
      <c r="G2" s="96"/>
      <c r="H2" s="96"/>
      <c r="I2" s="96"/>
      <c r="J2" s="96"/>
      <c r="K2" s="96"/>
      <c r="L2" s="96"/>
      <c r="M2" s="96"/>
      <c r="N2" s="96" t="s">
        <v>5</v>
      </c>
      <c r="O2" s="96"/>
      <c r="P2" s="96"/>
      <c r="Q2" s="96" t="s">
        <v>6</v>
      </c>
      <c r="R2" s="96"/>
      <c r="S2" s="96"/>
      <c r="T2" s="96"/>
      <c r="U2" s="96"/>
      <c r="V2" s="96"/>
      <c r="W2" s="96" t="s">
        <v>7</v>
      </c>
      <c r="X2" s="149" t="s">
        <v>8</v>
      </c>
    </row>
    <row r="3" spans="1:24" ht="15">
      <c r="A3" s="97" t="s">
        <v>9</v>
      </c>
      <c r="B3" s="97" t="s">
        <v>10</v>
      </c>
      <c r="C3" s="97" t="s">
        <v>11</v>
      </c>
      <c r="D3" s="97" t="s">
        <v>12</v>
      </c>
      <c r="E3" s="97" t="s">
        <v>13</v>
      </c>
      <c r="F3" s="97" t="s">
        <v>14</v>
      </c>
      <c r="G3" s="97" t="s">
        <v>15</v>
      </c>
      <c r="H3" s="97" t="s">
        <v>16</v>
      </c>
      <c r="I3" s="97"/>
      <c r="J3" s="98" t="s">
        <v>17</v>
      </c>
      <c r="K3" s="98"/>
      <c r="L3" s="97" t="s">
        <v>18</v>
      </c>
      <c r="M3" s="97" t="s">
        <v>19</v>
      </c>
      <c r="N3" s="98" t="s">
        <v>20</v>
      </c>
      <c r="O3" s="98" t="s">
        <v>21</v>
      </c>
      <c r="P3" s="98" t="s">
        <v>22</v>
      </c>
      <c r="Q3" s="98" t="s">
        <v>23</v>
      </c>
      <c r="R3" s="98"/>
      <c r="S3" s="98" t="s">
        <v>24</v>
      </c>
      <c r="T3" s="98"/>
      <c r="U3" s="97" t="s">
        <v>25</v>
      </c>
      <c r="V3" s="98" t="s">
        <v>22</v>
      </c>
      <c r="W3" s="96"/>
      <c r="X3" s="149"/>
    </row>
    <row r="4" spans="1:24" ht="15">
      <c r="A4" s="151"/>
      <c r="B4" s="151"/>
      <c r="C4" s="151"/>
      <c r="D4" s="151"/>
      <c r="E4" s="151"/>
      <c r="F4" s="151"/>
      <c r="G4" s="151"/>
      <c r="H4" s="10" t="s">
        <v>26</v>
      </c>
      <c r="I4" s="10" t="s">
        <v>27</v>
      </c>
      <c r="J4" s="10" t="s">
        <v>26</v>
      </c>
      <c r="K4" s="11" t="s">
        <v>28</v>
      </c>
      <c r="L4" s="151"/>
      <c r="M4" s="151"/>
      <c r="N4" s="152"/>
      <c r="O4" s="152"/>
      <c r="P4" s="152"/>
      <c r="Q4" s="10" t="s">
        <v>29</v>
      </c>
      <c r="R4" s="11" t="s">
        <v>30</v>
      </c>
      <c r="S4" s="10" t="s">
        <v>29</v>
      </c>
      <c r="T4" s="11" t="s">
        <v>30</v>
      </c>
      <c r="U4" s="151"/>
      <c r="V4" s="152"/>
      <c r="W4" s="153"/>
      <c r="X4" s="150"/>
    </row>
    <row r="5" spans="1:24" ht="15">
      <c r="A5" s="94" t="s">
        <v>228</v>
      </c>
      <c r="B5" s="94" t="s">
        <v>229</v>
      </c>
      <c r="C5" s="94" t="s">
        <v>586</v>
      </c>
      <c r="D5" s="94">
        <v>357</v>
      </c>
      <c r="E5" s="94" t="s">
        <v>587</v>
      </c>
      <c r="F5" s="94" t="s">
        <v>588</v>
      </c>
      <c r="G5" s="94" t="s">
        <v>36</v>
      </c>
      <c r="H5" s="94" t="s">
        <v>37</v>
      </c>
      <c r="I5" s="94" t="s">
        <v>38</v>
      </c>
      <c r="J5" s="94" t="s">
        <v>37</v>
      </c>
      <c r="K5" s="94" t="s">
        <v>391</v>
      </c>
      <c r="L5" s="69">
        <v>44342</v>
      </c>
      <c r="M5" s="69">
        <v>44344</v>
      </c>
      <c r="N5" s="70">
        <f>1326.66/2</f>
        <v>663.33</v>
      </c>
      <c r="O5" s="70">
        <f>1326.66/2</f>
        <v>663.33</v>
      </c>
      <c r="P5" s="70">
        <f>SUM(N5:O5)</f>
        <v>1326.66</v>
      </c>
      <c r="Q5" s="53">
        <v>3</v>
      </c>
      <c r="R5" s="70">
        <v>120</v>
      </c>
      <c r="S5" s="53">
        <v>0</v>
      </c>
      <c r="T5" s="70">
        <v>0</v>
      </c>
      <c r="U5" s="70">
        <f>(Q5*R5)+(S5*T5)</f>
        <v>360</v>
      </c>
      <c r="V5" s="70">
        <f>U5+P5</f>
        <v>1686.66</v>
      </c>
      <c r="W5" s="70">
        <f>V5</f>
        <v>1686.66</v>
      </c>
      <c r="X5" s="53"/>
    </row>
    <row r="6" spans="1:24" ht="15">
      <c r="A6" s="94" t="s">
        <v>228</v>
      </c>
      <c r="B6" s="94" t="s">
        <v>229</v>
      </c>
      <c r="C6" s="94" t="s">
        <v>71</v>
      </c>
      <c r="D6" s="94">
        <v>303</v>
      </c>
      <c r="E6" s="94" t="s">
        <v>589</v>
      </c>
      <c r="F6" s="94" t="s">
        <v>588</v>
      </c>
      <c r="G6" s="94" t="s">
        <v>36</v>
      </c>
      <c r="H6" s="94" t="s">
        <v>37</v>
      </c>
      <c r="I6" s="94" t="s">
        <v>38</v>
      </c>
      <c r="J6" s="94" t="s">
        <v>37</v>
      </c>
      <c r="K6" s="94" t="s">
        <v>391</v>
      </c>
      <c r="L6" s="69">
        <v>44342</v>
      </c>
      <c r="M6" s="69">
        <v>44344</v>
      </c>
      <c r="N6" s="70">
        <f t="shared" ref="N6:O7" si="0">1326.66/2</f>
        <v>663.33</v>
      </c>
      <c r="O6" s="70">
        <f t="shared" si="0"/>
        <v>663.33</v>
      </c>
      <c r="P6" s="70">
        <f t="shared" ref="P6" si="1">SUM(N6:O6)</f>
        <v>1326.66</v>
      </c>
      <c r="Q6" s="53">
        <v>3</v>
      </c>
      <c r="R6" s="70">
        <v>120</v>
      </c>
      <c r="S6" s="53">
        <v>0</v>
      </c>
      <c r="T6" s="70">
        <v>0</v>
      </c>
      <c r="U6" s="70">
        <f t="shared" ref="U6" si="2">(Q6*R6)+(S6*T6)</f>
        <v>360</v>
      </c>
      <c r="V6" s="70">
        <f t="shared" ref="V6" si="3">U6+P6</f>
        <v>1686.66</v>
      </c>
      <c r="W6" s="70">
        <f t="shared" ref="W6" si="4">V6</f>
        <v>1686.66</v>
      </c>
      <c r="X6" s="53"/>
    </row>
    <row r="7" spans="1:24" ht="15">
      <c r="A7" s="94" t="s">
        <v>228</v>
      </c>
      <c r="B7" s="94" t="s">
        <v>229</v>
      </c>
      <c r="C7" s="94" t="s">
        <v>590</v>
      </c>
      <c r="D7" s="94">
        <v>72</v>
      </c>
      <c r="E7" s="94" t="s">
        <v>591</v>
      </c>
      <c r="F7" s="94" t="s">
        <v>588</v>
      </c>
      <c r="G7" s="94" t="s">
        <v>36</v>
      </c>
      <c r="H7" s="94" t="s">
        <v>37</v>
      </c>
      <c r="I7" s="94" t="s">
        <v>38</v>
      </c>
      <c r="J7" s="94" t="s">
        <v>37</v>
      </c>
      <c r="K7" s="94" t="s">
        <v>391</v>
      </c>
      <c r="L7" s="69">
        <v>44342</v>
      </c>
      <c r="M7" s="69">
        <v>44344</v>
      </c>
      <c r="N7" s="70">
        <f t="shared" si="0"/>
        <v>663.33</v>
      </c>
      <c r="O7" s="70">
        <f t="shared" si="0"/>
        <v>663.33</v>
      </c>
      <c r="P7" s="70">
        <f t="shared" ref="P7" si="5">SUM(N7:O7)</f>
        <v>1326.66</v>
      </c>
      <c r="Q7" s="53">
        <v>3</v>
      </c>
      <c r="R7" s="70">
        <v>120</v>
      </c>
      <c r="S7" s="53">
        <v>0</v>
      </c>
      <c r="T7" s="70">
        <v>0</v>
      </c>
      <c r="U7" s="70">
        <f t="shared" ref="U7" si="6">(Q7*R7)+(S7*T7)</f>
        <v>360</v>
      </c>
      <c r="V7" s="70">
        <f t="shared" ref="V7" si="7">U7+P7</f>
        <v>1686.66</v>
      </c>
      <c r="W7" s="70">
        <f t="shared" ref="W7" si="8">V7</f>
        <v>1686.66</v>
      </c>
      <c r="X7" s="53"/>
    </row>
    <row r="8" spans="1:24" ht="15">
      <c r="A8" s="94" t="s">
        <v>233</v>
      </c>
      <c r="B8" s="94" t="s">
        <v>259</v>
      </c>
      <c r="C8" s="94" t="s">
        <v>320</v>
      </c>
      <c r="D8" s="94">
        <v>346</v>
      </c>
      <c r="E8" s="94" t="s">
        <v>50</v>
      </c>
      <c r="F8" s="94" t="s">
        <v>592</v>
      </c>
      <c r="G8" s="94" t="s">
        <v>36</v>
      </c>
      <c r="H8" s="94" t="s">
        <v>37</v>
      </c>
      <c r="I8" s="94" t="s">
        <v>38</v>
      </c>
      <c r="J8" s="94" t="s">
        <v>37</v>
      </c>
      <c r="K8" s="94" t="s">
        <v>391</v>
      </c>
      <c r="L8" s="69">
        <v>44343</v>
      </c>
      <c r="M8" s="69">
        <v>44344</v>
      </c>
      <c r="N8" s="70">
        <f>2134.26/2</f>
        <v>1067.1300000000001</v>
      </c>
      <c r="O8" s="70">
        <f>2134.26/2</f>
        <v>1067.1300000000001</v>
      </c>
      <c r="P8" s="70">
        <f t="shared" ref="P8" si="9">SUM(N8:O8)</f>
        <v>2134.2600000000002</v>
      </c>
      <c r="Q8" s="53">
        <v>2</v>
      </c>
      <c r="R8" s="70">
        <v>120</v>
      </c>
      <c r="S8" s="53">
        <v>0</v>
      </c>
      <c r="T8" s="70">
        <v>0</v>
      </c>
      <c r="U8" s="70">
        <f t="shared" ref="U8" si="10">(Q8*R8)+(S8*T8)</f>
        <v>240</v>
      </c>
      <c r="V8" s="70">
        <f t="shared" ref="V8" si="11">U8+P8</f>
        <v>2374.2600000000002</v>
      </c>
      <c r="W8" s="70">
        <f t="shared" ref="W8" si="12">V8</f>
        <v>2374.2600000000002</v>
      </c>
      <c r="X8" s="53"/>
    </row>
    <row r="12" spans="1:24">
      <c r="Q12" s="83"/>
    </row>
    <row r="13" spans="1:24">
      <c r="Q13" s="83"/>
    </row>
    <row r="14" spans="1:24">
      <c r="Q14" s="83"/>
    </row>
    <row r="15" spans="1:24">
      <c r="Q15" s="8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X14"/>
  <sheetViews>
    <sheetView workbookViewId="0">
      <selection activeCell="D7" sqref="D7:E7"/>
    </sheetView>
  </sheetViews>
  <sheetFormatPr defaultRowHeight="14.25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6" t="s">
        <v>1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</row>
    <row r="2" spans="1:24" ht="15">
      <c r="A2" s="96" t="s">
        <v>2</v>
      </c>
      <c r="B2" s="96"/>
      <c r="C2" s="96" t="s">
        <v>3</v>
      </c>
      <c r="D2" s="96"/>
      <c r="E2" s="96"/>
      <c r="F2" s="96" t="s">
        <v>4</v>
      </c>
      <c r="G2" s="96"/>
      <c r="H2" s="96"/>
      <c r="I2" s="96"/>
      <c r="J2" s="96"/>
      <c r="K2" s="96"/>
      <c r="L2" s="96"/>
      <c r="M2" s="96"/>
      <c r="N2" s="96" t="s">
        <v>5</v>
      </c>
      <c r="O2" s="96"/>
      <c r="P2" s="96"/>
      <c r="Q2" s="96" t="s">
        <v>6</v>
      </c>
      <c r="R2" s="96"/>
      <c r="S2" s="96"/>
      <c r="T2" s="96"/>
      <c r="U2" s="96"/>
      <c r="V2" s="96"/>
      <c r="W2" s="96" t="s">
        <v>7</v>
      </c>
      <c r="X2" s="149" t="s">
        <v>8</v>
      </c>
    </row>
    <row r="3" spans="1:24" ht="15">
      <c r="A3" s="97" t="s">
        <v>9</v>
      </c>
      <c r="B3" s="97" t="s">
        <v>10</v>
      </c>
      <c r="C3" s="97" t="s">
        <v>11</v>
      </c>
      <c r="D3" s="97" t="s">
        <v>12</v>
      </c>
      <c r="E3" s="97" t="s">
        <v>13</v>
      </c>
      <c r="F3" s="97" t="s">
        <v>14</v>
      </c>
      <c r="G3" s="97" t="s">
        <v>15</v>
      </c>
      <c r="H3" s="97" t="s">
        <v>16</v>
      </c>
      <c r="I3" s="97"/>
      <c r="J3" s="98" t="s">
        <v>17</v>
      </c>
      <c r="K3" s="98"/>
      <c r="L3" s="97" t="s">
        <v>18</v>
      </c>
      <c r="M3" s="97" t="s">
        <v>19</v>
      </c>
      <c r="N3" s="98" t="s">
        <v>20</v>
      </c>
      <c r="O3" s="98" t="s">
        <v>21</v>
      </c>
      <c r="P3" s="98" t="s">
        <v>22</v>
      </c>
      <c r="Q3" s="98" t="s">
        <v>23</v>
      </c>
      <c r="R3" s="98"/>
      <c r="S3" s="98" t="s">
        <v>24</v>
      </c>
      <c r="T3" s="98"/>
      <c r="U3" s="97" t="s">
        <v>25</v>
      </c>
      <c r="V3" s="98" t="s">
        <v>22</v>
      </c>
      <c r="W3" s="96"/>
      <c r="X3" s="149"/>
    </row>
    <row r="4" spans="1:24" ht="15">
      <c r="A4" s="151"/>
      <c r="B4" s="151"/>
      <c r="C4" s="151"/>
      <c r="D4" s="151"/>
      <c r="E4" s="151"/>
      <c r="F4" s="151"/>
      <c r="G4" s="151"/>
      <c r="H4" s="10" t="s">
        <v>26</v>
      </c>
      <c r="I4" s="10" t="s">
        <v>27</v>
      </c>
      <c r="J4" s="10" t="s">
        <v>26</v>
      </c>
      <c r="K4" s="11" t="s">
        <v>28</v>
      </c>
      <c r="L4" s="151"/>
      <c r="M4" s="151"/>
      <c r="N4" s="152"/>
      <c r="O4" s="152"/>
      <c r="P4" s="152"/>
      <c r="Q4" s="10" t="s">
        <v>29</v>
      </c>
      <c r="R4" s="11" t="s">
        <v>30</v>
      </c>
      <c r="S4" s="10" t="s">
        <v>29</v>
      </c>
      <c r="T4" s="11" t="s">
        <v>30</v>
      </c>
      <c r="U4" s="151"/>
      <c r="V4" s="152"/>
      <c r="W4" s="153"/>
      <c r="X4" s="150"/>
    </row>
    <row r="5" spans="1:24" ht="15">
      <c r="A5" s="94" t="s">
        <v>233</v>
      </c>
      <c r="B5" s="94" t="s">
        <v>212</v>
      </c>
      <c r="C5" s="94" t="s">
        <v>270</v>
      </c>
      <c r="D5" s="94">
        <v>158</v>
      </c>
      <c r="E5" s="94" t="s">
        <v>593</v>
      </c>
      <c r="F5" s="94" t="s">
        <v>594</v>
      </c>
      <c r="G5" s="94" t="s">
        <v>36</v>
      </c>
      <c r="H5" s="94" t="s">
        <v>37</v>
      </c>
      <c r="I5" s="94" t="s">
        <v>38</v>
      </c>
      <c r="J5" s="94" t="s">
        <v>37</v>
      </c>
      <c r="K5" s="94" t="s">
        <v>391</v>
      </c>
      <c r="L5" s="69">
        <v>44356</v>
      </c>
      <c r="M5" s="69">
        <v>44357</v>
      </c>
      <c r="N5" s="70">
        <f>1279.28/2</f>
        <v>639.64</v>
      </c>
      <c r="O5" s="70">
        <f>1101.62/2</f>
        <v>550.80999999999995</v>
      </c>
      <c r="P5" s="70">
        <f t="shared" ref="P5" si="0">SUM(N5:O5)</f>
        <v>1190.4499999999998</v>
      </c>
      <c r="Q5" s="53">
        <v>2</v>
      </c>
      <c r="R5" s="70">
        <v>120</v>
      </c>
      <c r="S5" s="53">
        <v>0</v>
      </c>
      <c r="T5" s="70">
        <v>0</v>
      </c>
      <c r="U5" s="70">
        <f t="shared" ref="U5:U7" si="1">(Q5*R5)+(S5*T5)</f>
        <v>240</v>
      </c>
      <c r="V5" s="70">
        <f t="shared" ref="V5:V7" si="2">U5+P5</f>
        <v>1430.4499999999998</v>
      </c>
      <c r="W5" s="70">
        <f t="shared" ref="W5:W7" si="3">V5</f>
        <v>1430.4499999999998</v>
      </c>
      <c r="X5" s="53"/>
    </row>
    <row r="6" spans="1:24" ht="15">
      <c r="A6" s="94" t="s">
        <v>233</v>
      </c>
      <c r="B6" s="94" t="s">
        <v>212</v>
      </c>
      <c r="C6" s="94" t="s">
        <v>387</v>
      </c>
      <c r="D6" s="94">
        <v>347</v>
      </c>
      <c r="E6" s="94" t="s">
        <v>34</v>
      </c>
      <c r="F6" s="94" t="s">
        <v>594</v>
      </c>
      <c r="G6" s="94" t="s">
        <v>36</v>
      </c>
      <c r="H6" s="94" t="s">
        <v>37</v>
      </c>
      <c r="I6" s="94" t="s">
        <v>38</v>
      </c>
      <c r="J6" s="94" t="s">
        <v>37</v>
      </c>
      <c r="K6" s="94" t="s">
        <v>391</v>
      </c>
      <c r="L6" s="69">
        <v>44363</v>
      </c>
      <c r="M6" s="69">
        <v>44364</v>
      </c>
      <c r="N6" s="70">
        <f>1101.62/2</f>
        <v>550.80999999999995</v>
      </c>
      <c r="O6" s="70">
        <f>1101.62/2</f>
        <v>550.80999999999995</v>
      </c>
      <c r="P6" s="70">
        <f t="shared" ref="P6:P7" si="4">SUM(N6:O6)</f>
        <v>1101.6199999999999</v>
      </c>
      <c r="Q6" s="53">
        <v>2</v>
      </c>
      <c r="R6" s="70">
        <v>120</v>
      </c>
      <c r="S6" s="53">
        <v>0</v>
      </c>
      <c r="T6" s="70">
        <v>0</v>
      </c>
      <c r="U6" s="70">
        <f t="shared" si="1"/>
        <v>240</v>
      </c>
      <c r="V6" s="70">
        <f t="shared" si="2"/>
        <v>1341.62</v>
      </c>
      <c r="W6" s="70">
        <f t="shared" si="3"/>
        <v>1341.62</v>
      </c>
      <c r="X6" s="53"/>
    </row>
    <row r="7" spans="1:24" ht="15">
      <c r="A7" s="94" t="s">
        <v>233</v>
      </c>
      <c r="B7" s="94" t="s">
        <v>212</v>
      </c>
      <c r="C7" s="94" t="s">
        <v>387</v>
      </c>
      <c r="D7" s="94">
        <v>347</v>
      </c>
      <c r="E7" s="94" t="s">
        <v>34</v>
      </c>
      <c r="F7" s="94" t="s">
        <v>594</v>
      </c>
      <c r="G7" s="94" t="s">
        <v>36</v>
      </c>
      <c r="H7" s="94" t="s">
        <v>37</v>
      </c>
      <c r="I7" s="94" t="s">
        <v>38</v>
      </c>
      <c r="J7" s="94" t="s">
        <v>37</v>
      </c>
      <c r="K7" s="94" t="s">
        <v>391</v>
      </c>
      <c r="L7" s="69">
        <v>44377</v>
      </c>
      <c r="M7" s="69">
        <v>44378</v>
      </c>
      <c r="N7" s="70">
        <f>1443.73/2</f>
        <v>721.86500000000001</v>
      </c>
      <c r="O7" s="70">
        <f>1443.73/2</f>
        <v>721.86500000000001</v>
      </c>
      <c r="P7" s="70">
        <f t="shared" si="4"/>
        <v>1443.73</v>
      </c>
      <c r="Q7" s="53">
        <v>2</v>
      </c>
      <c r="R7" s="70">
        <v>120</v>
      </c>
      <c r="S7" s="53">
        <v>0</v>
      </c>
      <c r="T7" s="70">
        <v>0</v>
      </c>
      <c r="U7" s="70">
        <f t="shared" si="1"/>
        <v>240</v>
      </c>
      <c r="V7" s="70">
        <f t="shared" si="2"/>
        <v>1683.73</v>
      </c>
      <c r="W7" s="70">
        <f t="shared" si="3"/>
        <v>1683.73</v>
      </c>
      <c r="X7" s="53"/>
    </row>
    <row r="11" spans="1:24">
      <c r="Q11" s="83"/>
    </row>
    <row r="12" spans="1:24">
      <c r="Q12" s="83"/>
    </row>
    <row r="13" spans="1:24">
      <c r="Q13" s="83"/>
    </row>
    <row r="14" spans="1:24">
      <c r="Q14" s="8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X13"/>
  <sheetViews>
    <sheetView workbookViewId="0">
      <selection activeCell="D6" sqref="D6:E6"/>
    </sheetView>
  </sheetViews>
  <sheetFormatPr defaultRowHeight="14.25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3.12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6" t="s">
        <v>1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</row>
    <row r="2" spans="1:24" ht="15">
      <c r="A2" s="96" t="s">
        <v>2</v>
      </c>
      <c r="B2" s="96"/>
      <c r="C2" s="96" t="s">
        <v>3</v>
      </c>
      <c r="D2" s="96"/>
      <c r="E2" s="96"/>
      <c r="F2" s="96" t="s">
        <v>4</v>
      </c>
      <c r="G2" s="96"/>
      <c r="H2" s="96"/>
      <c r="I2" s="96"/>
      <c r="J2" s="96"/>
      <c r="K2" s="96"/>
      <c r="L2" s="96"/>
      <c r="M2" s="96"/>
      <c r="N2" s="96" t="s">
        <v>5</v>
      </c>
      <c r="O2" s="96"/>
      <c r="P2" s="96"/>
      <c r="Q2" s="96" t="s">
        <v>6</v>
      </c>
      <c r="R2" s="96"/>
      <c r="S2" s="96"/>
      <c r="T2" s="96"/>
      <c r="U2" s="96"/>
      <c r="V2" s="96"/>
      <c r="W2" s="96" t="s">
        <v>7</v>
      </c>
      <c r="X2" s="149" t="s">
        <v>8</v>
      </c>
    </row>
    <row r="3" spans="1:24" ht="15">
      <c r="A3" s="97" t="s">
        <v>9</v>
      </c>
      <c r="B3" s="97" t="s">
        <v>10</v>
      </c>
      <c r="C3" s="97" t="s">
        <v>11</v>
      </c>
      <c r="D3" s="97" t="s">
        <v>12</v>
      </c>
      <c r="E3" s="97" t="s">
        <v>13</v>
      </c>
      <c r="F3" s="97" t="s">
        <v>14</v>
      </c>
      <c r="G3" s="97" t="s">
        <v>15</v>
      </c>
      <c r="H3" s="97" t="s">
        <v>16</v>
      </c>
      <c r="I3" s="97"/>
      <c r="J3" s="98" t="s">
        <v>17</v>
      </c>
      <c r="K3" s="98"/>
      <c r="L3" s="97" t="s">
        <v>18</v>
      </c>
      <c r="M3" s="97" t="s">
        <v>19</v>
      </c>
      <c r="N3" s="98" t="s">
        <v>20</v>
      </c>
      <c r="O3" s="98" t="s">
        <v>21</v>
      </c>
      <c r="P3" s="98" t="s">
        <v>22</v>
      </c>
      <c r="Q3" s="98" t="s">
        <v>23</v>
      </c>
      <c r="R3" s="98"/>
      <c r="S3" s="98" t="s">
        <v>24</v>
      </c>
      <c r="T3" s="98"/>
      <c r="U3" s="97" t="s">
        <v>25</v>
      </c>
      <c r="V3" s="98" t="s">
        <v>22</v>
      </c>
      <c r="W3" s="96"/>
      <c r="X3" s="149"/>
    </row>
    <row r="4" spans="1:24" ht="15">
      <c r="A4" s="151"/>
      <c r="B4" s="151"/>
      <c r="C4" s="151"/>
      <c r="D4" s="151"/>
      <c r="E4" s="151"/>
      <c r="F4" s="151"/>
      <c r="G4" s="151"/>
      <c r="H4" s="10" t="s">
        <v>26</v>
      </c>
      <c r="I4" s="10" t="s">
        <v>27</v>
      </c>
      <c r="J4" s="10" t="s">
        <v>26</v>
      </c>
      <c r="K4" s="11" t="s">
        <v>28</v>
      </c>
      <c r="L4" s="151"/>
      <c r="M4" s="151"/>
      <c r="N4" s="152"/>
      <c r="O4" s="152"/>
      <c r="P4" s="152"/>
      <c r="Q4" s="10" t="s">
        <v>29</v>
      </c>
      <c r="R4" s="11" t="s">
        <v>30</v>
      </c>
      <c r="S4" s="10" t="s">
        <v>29</v>
      </c>
      <c r="T4" s="11" t="s">
        <v>30</v>
      </c>
      <c r="U4" s="151"/>
      <c r="V4" s="152"/>
      <c r="W4" s="153"/>
      <c r="X4" s="150"/>
    </row>
    <row r="5" spans="1:24" ht="15">
      <c r="A5" s="94" t="s">
        <v>595</v>
      </c>
      <c r="B5" s="94" t="s">
        <v>595</v>
      </c>
      <c r="C5" s="94" t="s">
        <v>412</v>
      </c>
      <c r="D5" s="29"/>
      <c r="E5" s="20" t="s">
        <v>562</v>
      </c>
      <c r="F5" s="94" t="s">
        <v>596</v>
      </c>
      <c r="G5" s="94" t="s">
        <v>36</v>
      </c>
      <c r="H5" s="94" t="s">
        <v>37</v>
      </c>
      <c r="I5" s="94" t="s">
        <v>38</v>
      </c>
      <c r="J5" s="94" t="s">
        <v>39</v>
      </c>
      <c r="K5" s="94" t="s">
        <v>40</v>
      </c>
      <c r="L5" s="69">
        <v>44391</v>
      </c>
      <c r="M5" s="69">
        <v>44395</v>
      </c>
      <c r="N5" s="70">
        <f>2524.67/2</f>
        <v>1262.335</v>
      </c>
      <c r="O5" s="70">
        <f>2524.67/2</f>
        <v>1262.335</v>
      </c>
      <c r="P5" s="70">
        <f t="shared" ref="P5:P7" si="0">SUM(N5:O5)</f>
        <v>2524.67</v>
      </c>
      <c r="Q5" s="53">
        <v>0</v>
      </c>
      <c r="R5" s="70">
        <v>0</v>
      </c>
      <c r="S5" s="53">
        <v>0</v>
      </c>
      <c r="T5" s="70">
        <v>0</v>
      </c>
      <c r="U5" s="70">
        <f t="shared" ref="U5:U7" si="1">(Q5*R5)+(S5*T5)</f>
        <v>0</v>
      </c>
      <c r="V5" s="70">
        <f t="shared" ref="V5:V7" si="2">U5+P5</f>
        <v>2524.67</v>
      </c>
      <c r="W5" s="70">
        <f t="shared" ref="W5:W7" si="3">V5</f>
        <v>2524.67</v>
      </c>
      <c r="X5" s="53"/>
    </row>
    <row r="6" spans="1:24" ht="15">
      <c r="A6" s="94" t="s">
        <v>253</v>
      </c>
      <c r="B6" s="94" t="s">
        <v>253</v>
      </c>
      <c r="C6" s="94" t="s">
        <v>486</v>
      </c>
      <c r="D6" s="80"/>
      <c r="E6" s="81" t="s">
        <v>50</v>
      </c>
      <c r="F6" s="94" t="s">
        <v>597</v>
      </c>
      <c r="G6" s="94" t="s">
        <v>36</v>
      </c>
      <c r="H6" s="94" t="s">
        <v>37</v>
      </c>
      <c r="I6" s="94" t="s">
        <v>38</v>
      </c>
      <c r="J6" s="94" t="s">
        <v>598</v>
      </c>
      <c r="K6" s="94" t="s">
        <v>391</v>
      </c>
      <c r="L6" s="69">
        <v>44391</v>
      </c>
      <c r="M6" s="69">
        <v>44392</v>
      </c>
      <c r="N6" s="70">
        <f>902.91/2</f>
        <v>451.45499999999998</v>
      </c>
      <c r="O6" s="70">
        <f>902.91/2</f>
        <v>451.45499999999998</v>
      </c>
      <c r="P6" s="70">
        <f t="shared" si="0"/>
        <v>902.91</v>
      </c>
      <c r="Q6" s="53">
        <v>0</v>
      </c>
      <c r="R6" s="70">
        <v>0</v>
      </c>
      <c r="S6" s="53">
        <v>0</v>
      </c>
      <c r="T6" s="70">
        <v>0</v>
      </c>
      <c r="U6" s="70">
        <f t="shared" si="1"/>
        <v>0</v>
      </c>
      <c r="V6" s="70">
        <f t="shared" si="2"/>
        <v>902.91</v>
      </c>
      <c r="W6" s="70">
        <f t="shared" si="3"/>
        <v>902.91</v>
      </c>
      <c r="X6" s="53"/>
    </row>
    <row r="7" spans="1:24" ht="15">
      <c r="A7" s="94" t="s">
        <v>253</v>
      </c>
      <c r="B7" s="94" t="s">
        <v>212</v>
      </c>
      <c r="C7" s="94" t="s">
        <v>387</v>
      </c>
      <c r="D7" s="94">
        <v>347</v>
      </c>
      <c r="E7" s="94" t="s">
        <v>34</v>
      </c>
      <c r="F7" s="94" t="s">
        <v>597</v>
      </c>
      <c r="G7" s="94" t="s">
        <v>36</v>
      </c>
      <c r="H7" s="94" t="s">
        <v>37</v>
      </c>
      <c r="I7" s="94" t="s">
        <v>38</v>
      </c>
      <c r="J7" s="94" t="s">
        <v>598</v>
      </c>
      <c r="K7" s="94" t="s">
        <v>391</v>
      </c>
      <c r="L7" s="69">
        <v>44391</v>
      </c>
      <c r="M7" s="69">
        <v>44392</v>
      </c>
      <c r="N7" s="70">
        <f>902.91/2</f>
        <v>451.45499999999998</v>
      </c>
      <c r="O7" s="70">
        <f>902.91/2</f>
        <v>451.45499999999998</v>
      </c>
      <c r="P7" s="70">
        <f t="shared" si="0"/>
        <v>902.91</v>
      </c>
      <c r="Q7" s="53">
        <v>2</v>
      </c>
      <c r="R7" s="70">
        <v>120</v>
      </c>
      <c r="S7" s="53">
        <v>0</v>
      </c>
      <c r="T7" s="70">
        <v>0</v>
      </c>
      <c r="U7" s="70">
        <f t="shared" si="1"/>
        <v>240</v>
      </c>
      <c r="V7" s="70">
        <f t="shared" si="2"/>
        <v>1142.9099999999999</v>
      </c>
      <c r="W7" s="70">
        <f t="shared" si="3"/>
        <v>1142.9099999999999</v>
      </c>
      <c r="X7" s="53"/>
    </row>
    <row r="8" spans="1:24" ht="15">
      <c r="A8" s="94" t="s">
        <v>253</v>
      </c>
      <c r="B8" s="94" t="s">
        <v>212</v>
      </c>
      <c r="C8" s="94" t="s">
        <v>270</v>
      </c>
      <c r="D8" s="94">
        <v>158</v>
      </c>
      <c r="E8" s="94" t="s">
        <v>599</v>
      </c>
      <c r="F8" s="94" t="s">
        <v>597</v>
      </c>
      <c r="G8" s="94" t="s">
        <v>36</v>
      </c>
      <c r="H8" s="94" t="s">
        <v>37</v>
      </c>
      <c r="I8" s="94" t="s">
        <v>38</v>
      </c>
      <c r="J8" s="94" t="s">
        <v>598</v>
      </c>
      <c r="K8" s="94" t="s">
        <v>391</v>
      </c>
      <c r="L8" s="69">
        <v>44398</v>
      </c>
      <c r="M8" s="69">
        <v>44399</v>
      </c>
      <c r="N8" s="70">
        <f>1854.27/2</f>
        <v>927.13499999999999</v>
      </c>
      <c r="O8" s="70">
        <f>1854.27/2</f>
        <v>927.13499999999999</v>
      </c>
      <c r="P8" s="70">
        <f t="shared" ref="P8" si="4">SUM(N8:O8)</f>
        <v>1854.27</v>
      </c>
      <c r="Q8" s="53">
        <v>2</v>
      </c>
      <c r="R8" s="70">
        <v>120</v>
      </c>
      <c r="S8" s="53">
        <v>0</v>
      </c>
      <c r="T8" s="70">
        <v>0</v>
      </c>
      <c r="U8" s="70">
        <f t="shared" ref="U8" si="5">(Q8*R8)+(S8*T8)</f>
        <v>240</v>
      </c>
      <c r="V8" s="70">
        <f t="shared" ref="V8" si="6">U8+P8</f>
        <v>2094.27</v>
      </c>
      <c r="W8" s="70">
        <f t="shared" ref="W8" si="7">V8</f>
        <v>2094.27</v>
      </c>
      <c r="X8" s="53"/>
    </row>
    <row r="10" spans="1:24">
      <c r="Q10" s="83"/>
    </row>
    <row r="11" spans="1:24">
      <c r="Q11" s="83"/>
    </row>
    <row r="12" spans="1:24">
      <c r="Q12" s="83"/>
    </row>
    <row r="13" spans="1:24">
      <c r="Q13" s="8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X13"/>
  <sheetViews>
    <sheetView workbookViewId="0">
      <selection activeCell="D6" sqref="D6:E6"/>
    </sheetView>
  </sheetViews>
  <sheetFormatPr defaultRowHeight="14.25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3.12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6" t="s">
        <v>1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</row>
    <row r="2" spans="1:24" ht="15">
      <c r="A2" s="96" t="s">
        <v>2</v>
      </c>
      <c r="B2" s="96"/>
      <c r="C2" s="96" t="s">
        <v>3</v>
      </c>
      <c r="D2" s="96"/>
      <c r="E2" s="96"/>
      <c r="F2" s="96" t="s">
        <v>4</v>
      </c>
      <c r="G2" s="96"/>
      <c r="H2" s="96"/>
      <c r="I2" s="96"/>
      <c r="J2" s="96"/>
      <c r="K2" s="96"/>
      <c r="L2" s="96"/>
      <c r="M2" s="96"/>
      <c r="N2" s="96" t="s">
        <v>5</v>
      </c>
      <c r="O2" s="96"/>
      <c r="P2" s="96"/>
      <c r="Q2" s="96" t="s">
        <v>6</v>
      </c>
      <c r="R2" s="96"/>
      <c r="S2" s="96"/>
      <c r="T2" s="96"/>
      <c r="U2" s="96"/>
      <c r="V2" s="96"/>
      <c r="W2" s="96" t="s">
        <v>7</v>
      </c>
      <c r="X2" s="149" t="s">
        <v>8</v>
      </c>
    </row>
    <row r="3" spans="1:24" ht="15">
      <c r="A3" s="97" t="s">
        <v>9</v>
      </c>
      <c r="B3" s="97" t="s">
        <v>10</v>
      </c>
      <c r="C3" s="97" t="s">
        <v>11</v>
      </c>
      <c r="D3" s="97" t="s">
        <v>12</v>
      </c>
      <c r="E3" s="97" t="s">
        <v>13</v>
      </c>
      <c r="F3" s="97" t="s">
        <v>14</v>
      </c>
      <c r="G3" s="97" t="s">
        <v>15</v>
      </c>
      <c r="H3" s="97" t="s">
        <v>16</v>
      </c>
      <c r="I3" s="97"/>
      <c r="J3" s="98" t="s">
        <v>17</v>
      </c>
      <c r="K3" s="98"/>
      <c r="L3" s="97" t="s">
        <v>18</v>
      </c>
      <c r="M3" s="97" t="s">
        <v>19</v>
      </c>
      <c r="N3" s="98" t="s">
        <v>20</v>
      </c>
      <c r="O3" s="98" t="s">
        <v>21</v>
      </c>
      <c r="P3" s="98" t="s">
        <v>22</v>
      </c>
      <c r="Q3" s="98" t="s">
        <v>23</v>
      </c>
      <c r="R3" s="98"/>
      <c r="S3" s="98" t="s">
        <v>24</v>
      </c>
      <c r="T3" s="98"/>
      <c r="U3" s="97" t="s">
        <v>25</v>
      </c>
      <c r="V3" s="98" t="s">
        <v>22</v>
      </c>
      <c r="W3" s="96"/>
      <c r="X3" s="149"/>
    </row>
    <row r="4" spans="1:24" ht="15">
      <c r="A4" s="151"/>
      <c r="B4" s="151"/>
      <c r="C4" s="151"/>
      <c r="D4" s="151"/>
      <c r="E4" s="151"/>
      <c r="F4" s="151"/>
      <c r="G4" s="151"/>
      <c r="H4" s="10" t="s">
        <v>26</v>
      </c>
      <c r="I4" s="10" t="s">
        <v>27</v>
      </c>
      <c r="J4" s="10" t="s">
        <v>26</v>
      </c>
      <c r="K4" s="11" t="s">
        <v>28</v>
      </c>
      <c r="L4" s="151"/>
      <c r="M4" s="151"/>
      <c r="N4" s="152"/>
      <c r="O4" s="152"/>
      <c r="P4" s="152"/>
      <c r="Q4" s="10" t="s">
        <v>29</v>
      </c>
      <c r="R4" s="11" t="s">
        <v>30</v>
      </c>
      <c r="S4" s="10" t="s">
        <v>29</v>
      </c>
      <c r="T4" s="11" t="s">
        <v>30</v>
      </c>
      <c r="U4" s="151"/>
      <c r="V4" s="152"/>
      <c r="W4" s="153"/>
      <c r="X4" s="150"/>
    </row>
    <row r="5" spans="1:24" ht="15">
      <c r="A5" s="94" t="s">
        <v>253</v>
      </c>
      <c r="B5" s="94" t="s">
        <v>212</v>
      </c>
      <c r="C5" s="94" t="s">
        <v>270</v>
      </c>
      <c r="D5" s="29" t="s">
        <v>168</v>
      </c>
      <c r="E5" s="94" t="s">
        <v>599</v>
      </c>
      <c r="F5" s="94" t="s">
        <v>594</v>
      </c>
      <c r="G5" s="94" t="s">
        <v>36</v>
      </c>
      <c r="H5" s="94" t="s">
        <v>37</v>
      </c>
      <c r="I5" s="94" t="s">
        <v>38</v>
      </c>
      <c r="J5" s="94" t="s">
        <v>39</v>
      </c>
      <c r="K5" s="94" t="s">
        <v>391</v>
      </c>
      <c r="L5" s="69">
        <v>44412</v>
      </c>
      <c r="M5" s="69">
        <v>44413</v>
      </c>
      <c r="N5" s="70">
        <f>833.12/2</f>
        <v>416.56</v>
      </c>
      <c r="O5" s="70">
        <f>833.12/2</f>
        <v>416.56</v>
      </c>
      <c r="P5" s="70">
        <f t="shared" ref="P5:P7" si="0">SUM(N5:O5)</f>
        <v>833.12</v>
      </c>
      <c r="Q5" s="53">
        <v>2</v>
      </c>
      <c r="R5" s="70">
        <v>120</v>
      </c>
      <c r="S5" s="53">
        <v>0</v>
      </c>
      <c r="T5" s="70">
        <v>0</v>
      </c>
      <c r="U5" s="70">
        <f t="shared" ref="U5:U8" si="1">(Q5*R5)+(S5*T5)</f>
        <v>240</v>
      </c>
      <c r="V5" s="70">
        <f t="shared" ref="V5:V8" si="2">U5+P5</f>
        <v>1073.1199999999999</v>
      </c>
      <c r="W5" s="70">
        <f t="shared" ref="W5:W8" si="3">V5</f>
        <v>1073.1199999999999</v>
      </c>
      <c r="X5" s="53"/>
    </row>
    <row r="6" spans="1:24" ht="15">
      <c r="A6" s="94" t="s">
        <v>253</v>
      </c>
      <c r="B6" s="94" t="s">
        <v>212</v>
      </c>
      <c r="C6" s="94" t="s">
        <v>387</v>
      </c>
      <c r="D6" s="80" t="s">
        <v>388</v>
      </c>
      <c r="E6" s="94" t="s">
        <v>34</v>
      </c>
      <c r="F6" s="94" t="s">
        <v>600</v>
      </c>
      <c r="G6" s="94" t="s">
        <v>36</v>
      </c>
      <c r="H6" s="94" t="s">
        <v>37</v>
      </c>
      <c r="I6" s="94" t="s">
        <v>38</v>
      </c>
      <c r="J6" s="94" t="s">
        <v>598</v>
      </c>
      <c r="K6" s="94" t="s">
        <v>391</v>
      </c>
      <c r="L6" s="69">
        <v>44419</v>
      </c>
      <c r="M6" s="69">
        <v>44420</v>
      </c>
      <c r="N6" s="70">
        <f>1513.24/2</f>
        <v>756.62</v>
      </c>
      <c r="O6" s="70">
        <f>1513.24/2</f>
        <v>756.62</v>
      </c>
      <c r="P6" s="70">
        <f t="shared" si="0"/>
        <v>1513.24</v>
      </c>
      <c r="Q6" s="53">
        <v>2</v>
      </c>
      <c r="R6" s="70">
        <v>120</v>
      </c>
      <c r="S6" s="53">
        <v>0</v>
      </c>
      <c r="T6" s="70">
        <v>0</v>
      </c>
      <c r="U6" s="70">
        <f t="shared" si="1"/>
        <v>240</v>
      </c>
      <c r="V6" s="70">
        <f t="shared" si="2"/>
        <v>1753.24</v>
      </c>
      <c r="W6" s="70">
        <f t="shared" si="3"/>
        <v>1753.24</v>
      </c>
      <c r="X6" s="53"/>
    </row>
    <row r="7" spans="1:24" ht="15">
      <c r="A7" s="94" t="s">
        <v>253</v>
      </c>
      <c r="B7" s="94" t="s">
        <v>322</v>
      </c>
      <c r="C7" s="94" t="s">
        <v>457</v>
      </c>
      <c r="D7" s="80">
        <v>144</v>
      </c>
      <c r="E7" s="94" t="s">
        <v>114</v>
      </c>
      <c r="F7" s="94" t="s">
        <v>601</v>
      </c>
      <c r="G7" s="94" t="s">
        <v>36</v>
      </c>
      <c r="H7" s="94" t="s">
        <v>37</v>
      </c>
      <c r="I7" s="94" t="s">
        <v>38</v>
      </c>
      <c r="J7" s="94" t="s">
        <v>598</v>
      </c>
      <c r="K7" s="94" t="s">
        <v>391</v>
      </c>
      <c r="L7" s="69">
        <v>44425</v>
      </c>
      <c r="M7" s="69">
        <v>44427</v>
      </c>
      <c r="N7" s="70">
        <f>1690.94/2</f>
        <v>845.47</v>
      </c>
      <c r="O7" s="70">
        <f>902.91/2</f>
        <v>451.45499999999998</v>
      </c>
      <c r="P7" s="70">
        <f t="shared" si="0"/>
        <v>1296.925</v>
      </c>
      <c r="Q7" s="53">
        <v>3</v>
      </c>
      <c r="R7" s="70">
        <v>120</v>
      </c>
      <c r="S7" s="53">
        <v>0</v>
      </c>
      <c r="T7" s="70">
        <v>0</v>
      </c>
      <c r="U7" s="70">
        <f t="shared" si="1"/>
        <v>360</v>
      </c>
      <c r="V7" s="70">
        <f t="shared" si="2"/>
        <v>1656.925</v>
      </c>
      <c r="W7" s="70">
        <f t="shared" si="3"/>
        <v>1656.925</v>
      </c>
      <c r="X7" s="53"/>
    </row>
    <row r="8" spans="1:24" ht="15">
      <c r="A8" s="94" t="s">
        <v>253</v>
      </c>
      <c r="B8" s="94" t="s">
        <v>322</v>
      </c>
      <c r="C8" s="94" t="s">
        <v>350</v>
      </c>
      <c r="D8" s="80" t="s">
        <v>351</v>
      </c>
      <c r="E8" s="94" t="s">
        <v>114</v>
      </c>
      <c r="F8" s="94" t="s">
        <v>602</v>
      </c>
      <c r="G8" s="94" t="s">
        <v>36</v>
      </c>
      <c r="H8" s="94" t="s">
        <v>37</v>
      </c>
      <c r="I8" s="94" t="s">
        <v>38</v>
      </c>
      <c r="J8" s="94" t="s">
        <v>598</v>
      </c>
      <c r="K8" s="94" t="s">
        <v>391</v>
      </c>
      <c r="L8" s="69">
        <v>46958</v>
      </c>
      <c r="M8" s="69">
        <v>44436</v>
      </c>
      <c r="N8" s="70">
        <f>1093.18/2</f>
        <v>546.59</v>
      </c>
      <c r="O8" s="70">
        <f>1093.18/2</f>
        <v>546.59</v>
      </c>
      <c r="P8" s="70">
        <f t="shared" ref="P8" si="4">SUM(N8:O8)</f>
        <v>1093.18</v>
      </c>
      <c r="Q8" s="53">
        <v>4</v>
      </c>
      <c r="R8" s="70">
        <v>120</v>
      </c>
      <c r="S8" s="53">
        <v>0</v>
      </c>
      <c r="T8" s="70">
        <v>0</v>
      </c>
      <c r="U8" s="70">
        <f t="shared" si="1"/>
        <v>480</v>
      </c>
      <c r="V8" s="70">
        <f t="shared" si="2"/>
        <v>1573.18</v>
      </c>
      <c r="W8" s="70">
        <f t="shared" si="3"/>
        <v>1573.18</v>
      </c>
      <c r="X8" s="53"/>
    </row>
    <row r="9" spans="1:24" ht="15">
      <c r="A9" s="94" t="s">
        <v>253</v>
      </c>
      <c r="B9" s="94" t="s">
        <v>322</v>
      </c>
      <c r="C9" s="94" t="s">
        <v>92</v>
      </c>
      <c r="D9" s="56" t="s">
        <v>93</v>
      </c>
      <c r="E9" s="94" t="s">
        <v>603</v>
      </c>
      <c r="F9" s="94" t="s">
        <v>602</v>
      </c>
      <c r="G9" s="94" t="s">
        <v>36</v>
      </c>
      <c r="H9" s="94" t="s">
        <v>37</v>
      </c>
      <c r="I9" s="94" t="s">
        <v>38</v>
      </c>
      <c r="J9" s="94" t="s">
        <v>598</v>
      </c>
      <c r="K9" s="94" t="s">
        <v>391</v>
      </c>
      <c r="L9" s="69">
        <v>46958</v>
      </c>
      <c r="M9" s="69">
        <v>44436</v>
      </c>
      <c r="N9" s="70">
        <f>1093.18/2</f>
        <v>546.59</v>
      </c>
      <c r="O9" s="70">
        <f>1093.18/2</f>
        <v>546.59</v>
      </c>
      <c r="P9" s="70">
        <f t="shared" ref="P9" si="5">SUM(N9:O9)</f>
        <v>1093.18</v>
      </c>
      <c r="Q9" s="53">
        <v>4</v>
      </c>
      <c r="R9" s="70">
        <v>120</v>
      </c>
      <c r="S9" s="53">
        <v>0</v>
      </c>
      <c r="T9" s="70">
        <v>0</v>
      </c>
      <c r="U9" s="70">
        <f t="shared" ref="U9" si="6">(Q9*R9)+(S9*T9)</f>
        <v>480</v>
      </c>
      <c r="V9" s="70">
        <f t="shared" ref="V9" si="7">U9+P9</f>
        <v>1573.18</v>
      </c>
      <c r="W9" s="70">
        <f t="shared" ref="W9" si="8">V9</f>
        <v>1573.18</v>
      </c>
      <c r="X9" s="53"/>
    </row>
    <row r="10" spans="1:24">
      <c r="Q10" s="83"/>
    </row>
    <row r="11" spans="1:24">
      <c r="Q11" s="83"/>
    </row>
    <row r="12" spans="1:24">
      <c r="Q12" s="83"/>
    </row>
    <row r="13" spans="1:24">
      <c r="Q13" s="8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X12"/>
  <sheetViews>
    <sheetView workbookViewId="0">
      <selection activeCell="D17" sqref="D17"/>
    </sheetView>
  </sheetViews>
  <sheetFormatPr defaultRowHeight="14.25"/>
  <cols>
    <col min="1" max="1" width="38.375" bestFit="1" customWidth="1"/>
    <col min="2" max="2" width="50.875" bestFit="1" customWidth="1"/>
    <col min="3" max="3" width="51.375" bestFit="1" customWidth="1"/>
    <col min="5" max="5" width="31.75" bestFit="1" customWidth="1"/>
    <col min="6" max="6" width="86" bestFit="1" customWidth="1"/>
    <col min="10" max="10" width="3.375" bestFit="1" customWidth="1"/>
    <col min="11" max="11" width="13.12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6" t="s">
        <v>1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</row>
    <row r="2" spans="1:24" ht="15">
      <c r="A2" s="96" t="s">
        <v>2</v>
      </c>
      <c r="B2" s="96"/>
      <c r="C2" s="96" t="s">
        <v>3</v>
      </c>
      <c r="D2" s="96"/>
      <c r="E2" s="96"/>
      <c r="F2" s="96" t="s">
        <v>4</v>
      </c>
      <c r="G2" s="96"/>
      <c r="H2" s="96"/>
      <c r="I2" s="96"/>
      <c r="J2" s="96"/>
      <c r="K2" s="96"/>
      <c r="L2" s="96"/>
      <c r="M2" s="96"/>
      <c r="N2" s="96" t="s">
        <v>5</v>
      </c>
      <c r="O2" s="96"/>
      <c r="P2" s="96"/>
      <c r="Q2" s="96" t="s">
        <v>6</v>
      </c>
      <c r="R2" s="96"/>
      <c r="S2" s="96"/>
      <c r="T2" s="96"/>
      <c r="U2" s="96"/>
      <c r="V2" s="96"/>
      <c r="W2" s="96" t="s">
        <v>7</v>
      </c>
      <c r="X2" s="149" t="s">
        <v>8</v>
      </c>
    </row>
    <row r="3" spans="1:24" ht="15">
      <c r="A3" s="97" t="s">
        <v>9</v>
      </c>
      <c r="B3" s="97" t="s">
        <v>10</v>
      </c>
      <c r="C3" s="97" t="s">
        <v>11</v>
      </c>
      <c r="D3" s="97" t="s">
        <v>12</v>
      </c>
      <c r="E3" s="97" t="s">
        <v>13</v>
      </c>
      <c r="F3" s="97" t="s">
        <v>14</v>
      </c>
      <c r="G3" s="97" t="s">
        <v>15</v>
      </c>
      <c r="H3" s="97" t="s">
        <v>16</v>
      </c>
      <c r="I3" s="97"/>
      <c r="J3" s="98" t="s">
        <v>17</v>
      </c>
      <c r="K3" s="98"/>
      <c r="L3" s="97" t="s">
        <v>18</v>
      </c>
      <c r="M3" s="97" t="s">
        <v>19</v>
      </c>
      <c r="N3" s="98" t="s">
        <v>20</v>
      </c>
      <c r="O3" s="98" t="s">
        <v>21</v>
      </c>
      <c r="P3" s="98" t="s">
        <v>22</v>
      </c>
      <c r="Q3" s="98" t="s">
        <v>23</v>
      </c>
      <c r="R3" s="98"/>
      <c r="S3" s="98" t="s">
        <v>24</v>
      </c>
      <c r="T3" s="98"/>
      <c r="U3" s="97" t="s">
        <v>25</v>
      </c>
      <c r="V3" s="98" t="s">
        <v>22</v>
      </c>
      <c r="W3" s="96"/>
      <c r="X3" s="149"/>
    </row>
    <row r="4" spans="1:24" ht="15">
      <c r="A4" s="151"/>
      <c r="B4" s="151"/>
      <c r="C4" s="151"/>
      <c r="D4" s="151"/>
      <c r="E4" s="151"/>
      <c r="F4" s="151"/>
      <c r="G4" s="151"/>
      <c r="H4" s="10" t="s">
        <v>26</v>
      </c>
      <c r="I4" s="10" t="s">
        <v>27</v>
      </c>
      <c r="J4" s="10" t="s">
        <v>26</v>
      </c>
      <c r="K4" s="11" t="s">
        <v>28</v>
      </c>
      <c r="L4" s="151"/>
      <c r="M4" s="151"/>
      <c r="N4" s="152"/>
      <c r="O4" s="152"/>
      <c r="P4" s="152"/>
      <c r="Q4" s="10" t="s">
        <v>29</v>
      </c>
      <c r="R4" s="11" t="s">
        <v>30</v>
      </c>
      <c r="S4" s="10" t="s">
        <v>29</v>
      </c>
      <c r="T4" s="11" t="s">
        <v>30</v>
      </c>
      <c r="U4" s="151"/>
      <c r="V4" s="152"/>
      <c r="W4" s="153"/>
      <c r="X4" s="150"/>
    </row>
    <row r="5" spans="1:24" ht="15">
      <c r="A5" s="77" t="s">
        <v>253</v>
      </c>
      <c r="B5" s="77" t="s">
        <v>253</v>
      </c>
      <c r="C5" s="77" t="s">
        <v>320</v>
      </c>
      <c r="D5" s="77">
        <v>346</v>
      </c>
      <c r="E5" s="77" t="s">
        <v>50</v>
      </c>
      <c r="F5" s="77" t="s">
        <v>604</v>
      </c>
      <c r="G5" s="94" t="s">
        <v>36</v>
      </c>
      <c r="H5" s="94" t="s">
        <v>37</v>
      </c>
      <c r="I5" s="94" t="s">
        <v>38</v>
      </c>
      <c r="J5" s="94" t="s">
        <v>109</v>
      </c>
      <c r="K5" s="94" t="s">
        <v>110</v>
      </c>
      <c r="L5" s="69">
        <v>44449</v>
      </c>
      <c r="M5" s="69">
        <v>44449</v>
      </c>
      <c r="N5" s="70">
        <f>1907.48/2</f>
        <v>953.74</v>
      </c>
      <c r="O5" s="70">
        <f>1907.48/2</f>
        <v>953.74</v>
      </c>
      <c r="P5" s="70">
        <f t="shared" ref="P5:P8" si="0">SUM(N5:O5)</f>
        <v>1907.48</v>
      </c>
      <c r="Q5" s="53">
        <v>1</v>
      </c>
      <c r="R5" s="70">
        <v>120</v>
      </c>
      <c r="S5" s="53">
        <v>0</v>
      </c>
      <c r="T5" s="70">
        <v>0</v>
      </c>
      <c r="U5" s="70">
        <f t="shared" ref="U5:U8" si="1">(Q5*R5)+(S5*T5)</f>
        <v>120</v>
      </c>
      <c r="V5" s="70">
        <f t="shared" ref="V5:V8" si="2">U5+P5</f>
        <v>2027.48</v>
      </c>
      <c r="W5" s="70">
        <f t="shared" ref="W5:W8" si="3">V5</f>
        <v>2027.48</v>
      </c>
      <c r="X5" s="53"/>
    </row>
    <row r="6" spans="1:24" ht="15">
      <c r="A6" s="77" t="s">
        <v>253</v>
      </c>
      <c r="B6" s="77" t="s">
        <v>212</v>
      </c>
      <c r="C6" s="77" t="s">
        <v>387</v>
      </c>
      <c r="D6" s="77" t="s">
        <v>388</v>
      </c>
      <c r="E6" s="77" t="s">
        <v>34</v>
      </c>
      <c r="F6" s="77" t="s">
        <v>605</v>
      </c>
      <c r="G6" s="94" t="s">
        <v>36</v>
      </c>
      <c r="H6" s="94" t="s">
        <v>37</v>
      </c>
      <c r="I6" s="94" t="s">
        <v>38</v>
      </c>
      <c r="J6" s="94" t="s">
        <v>598</v>
      </c>
      <c r="K6" s="94" t="s">
        <v>391</v>
      </c>
      <c r="L6" s="69">
        <v>44453</v>
      </c>
      <c r="M6" s="69">
        <v>44454</v>
      </c>
      <c r="N6" s="70">
        <v>716.46</v>
      </c>
      <c r="O6" s="70">
        <v>1471.6200000000001</v>
      </c>
      <c r="P6" s="70">
        <f t="shared" si="0"/>
        <v>2188.08</v>
      </c>
      <c r="Q6" s="53">
        <v>2</v>
      </c>
      <c r="R6" s="70">
        <v>120</v>
      </c>
      <c r="S6" s="53">
        <v>0</v>
      </c>
      <c r="T6" s="70">
        <v>0</v>
      </c>
      <c r="U6" s="70">
        <f t="shared" si="1"/>
        <v>240</v>
      </c>
      <c r="V6" s="70">
        <f t="shared" si="2"/>
        <v>2428.08</v>
      </c>
      <c r="W6" s="70">
        <f t="shared" si="3"/>
        <v>2428.08</v>
      </c>
      <c r="X6" s="53"/>
    </row>
    <row r="7" spans="1:24" ht="15">
      <c r="A7" s="77" t="s">
        <v>253</v>
      </c>
      <c r="B7" s="77" t="s">
        <v>212</v>
      </c>
      <c r="C7" s="77" t="s">
        <v>270</v>
      </c>
      <c r="D7" s="77" t="s">
        <v>168</v>
      </c>
      <c r="E7" s="77" t="s">
        <v>599</v>
      </c>
      <c r="F7" s="77" t="s">
        <v>606</v>
      </c>
      <c r="G7" s="94" t="s">
        <v>36</v>
      </c>
      <c r="H7" s="94" t="s">
        <v>37</v>
      </c>
      <c r="I7" s="94" t="s">
        <v>38</v>
      </c>
      <c r="J7" s="94" t="s">
        <v>598</v>
      </c>
      <c r="K7" s="94" t="s">
        <v>391</v>
      </c>
      <c r="L7" s="69">
        <v>44460</v>
      </c>
      <c r="M7" s="69">
        <v>44462</v>
      </c>
      <c r="N7" s="70">
        <v>716.46</v>
      </c>
      <c r="O7" s="70">
        <v>1471.6200000000001</v>
      </c>
      <c r="P7" s="70">
        <f t="shared" si="0"/>
        <v>2188.08</v>
      </c>
      <c r="Q7" s="53">
        <v>3</v>
      </c>
      <c r="R7" s="70">
        <v>120</v>
      </c>
      <c r="S7" s="53">
        <v>0</v>
      </c>
      <c r="T7" s="70">
        <v>0</v>
      </c>
      <c r="U7" s="70">
        <f t="shared" si="1"/>
        <v>360</v>
      </c>
      <c r="V7" s="70">
        <f t="shared" si="2"/>
        <v>2548.08</v>
      </c>
      <c r="W7" s="70">
        <f t="shared" si="3"/>
        <v>2548.08</v>
      </c>
      <c r="X7" s="53"/>
    </row>
    <row r="8" spans="1:24" ht="15">
      <c r="A8" s="77" t="s">
        <v>253</v>
      </c>
      <c r="B8" s="77" t="s">
        <v>288</v>
      </c>
      <c r="C8" s="77" t="s">
        <v>237</v>
      </c>
      <c r="D8" s="85">
        <v>82</v>
      </c>
      <c r="E8" s="77" t="s">
        <v>84</v>
      </c>
      <c r="F8" s="77" t="s">
        <v>607</v>
      </c>
      <c r="G8" s="94" t="s">
        <v>36</v>
      </c>
      <c r="H8" s="94" t="s">
        <v>37</v>
      </c>
      <c r="I8" s="94" t="s">
        <v>38</v>
      </c>
      <c r="J8" s="94" t="s">
        <v>598</v>
      </c>
      <c r="K8" s="94" t="s">
        <v>391</v>
      </c>
      <c r="L8" s="69">
        <v>44439</v>
      </c>
      <c r="M8" s="69">
        <v>44440</v>
      </c>
      <c r="N8" s="70">
        <f>1471.62/2</f>
        <v>735.81</v>
      </c>
      <c r="O8" s="70">
        <f>1471.62/2</f>
        <v>735.81</v>
      </c>
      <c r="P8" s="70">
        <f t="shared" si="0"/>
        <v>1471.62</v>
      </c>
      <c r="Q8" s="53">
        <v>2</v>
      </c>
      <c r="R8" s="70">
        <v>120</v>
      </c>
      <c r="S8" s="53">
        <v>0</v>
      </c>
      <c r="T8" s="70">
        <v>0</v>
      </c>
      <c r="U8" s="70">
        <f t="shared" si="1"/>
        <v>240</v>
      </c>
      <c r="V8" s="70">
        <f t="shared" si="2"/>
        <v>1711.62</v>
      </c>
      <c r="W8" s="70">
        <f t="shared" si="3"/>
        <v>1711.62</v>
      </c>
      <c r="X8" s="53"/>
    </row>
    <row r="9" spans="1:24">
      <c r="Q9" s="83"/>
    </row>
    <row r="10" spans="1:24">
      <c r="Q10" s="83"/>
    </row>
    <row r="11" spans="1:24">
      <c r="Q11" s="83"/>
    </row>
    <row r="12" spans="1:24">
      <c r="Q12" s="8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X28"/>
  <sheetViews>
    <sheetView workbookViewId="0">
      <selection activeCell="D22" sqref="D22:E22"/>
    </sheetView>
  </sheetViews>
  <sheetFormatPr defaultRowHeight="14.25"/>
  <cols>
    <col min="1" max="1" width="43.5" bestFit="1" customWidth="1"/>
    <col min="2" max="2" width="50.875" bestFit="1" customWidth="1"/>
    <col min="3" max="3" width="51.375" bestFit="1" customWidth="1"/>
    <col min="4" max="4" width="9" customWidth="1"/>
    <col min="5" max="5" width="47.375" customWidth="1"/>
    <col min="6" max="6" width="72.625" bestFit="1" customWidth="1"/>
    <col min="7" max="9" width="9" customWidth="1"/>
    <col min="10" max="10" width="3.375" customWidth="1"/>
    <col min="11" max="11" width="13.12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6" t="s">
        <v>1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</row>
    <row r="2" spans="1:24" ht="15">
      <c r="A2" s="96" t="s">
        <v>2</v>
      </c>
      <c r="B2" s="96"/>
      <c r="C2" s="96" t="s">
        <v>3</v>
      </c>
      <c r="D2" s="96"/>
      <c r="E2" s="96"/>
      <c r="F2" s="96" t="s">
        <v>4</v>
      </c>
      <c r="G2" s="96"/>
      <c r="H2" s="96"/>
      <c r="I2" s="96"/>
      <c r="J2" s="96"/>
      <c r="K2" s="96"/>
      <c r="L2" s="96"/>
      <c r="M2" s="96"/>
      <c r="N2" s="96" t="s">
        <v>5</v>
      </c>
      <c r="O2" s="96"/>
      <c r="P2" s="96"/>
      <c r="Q2" s="96" t="s">
        <v>6</v>
      </c>
      <c r="R2" s="96"/>
      <c r="S2" s="96"/>
      <c r="T2" s="96"/>
      <c r="U2" s="96"/>
      <c r="V2" s="96"/>
      <c r="W2" s="96" t="s">
        <v>7</v>
      </c>
      <c r="X2" s="149" t="s">
        <v>8</v>
      </c>
    </row>
    <row r="3" spans="1:24" ht="15">
      <c r="A3" s="97" t="s">
        <v>9</v>
      </c>
      <c r="B3" s="97" t="s">
        <v>10</v>
      </c>
      <c r="C3" s="97" t="s">
        <v>11</v>
      </c>
      <c r="D3" s="97" t="s">
        <v>12</v>
      </c>
      <c r="E3" s="97" t="s">
        <v>13</v>
      </c>
      <c r="F3" s="97" t="s">
        <v>14</v>
      </c>
      <c r="G3" s="97" t="s">
        <v>15</v>
      </c>
      <c r="H3" s="97" t="s">
        <v>16</v>
      </c>
      <c r="I3" s="97"/>
      <c r="J3" s="98" t="s">
        <v>17</v>
      </c>
      <c r="K3" s="98"/>
      <c r="L3" s="97" t="s">
        <v>18</v>
      </c>
      <c r="M3" s="97" t="s">
        <v>19</v>
      </c>
      <c r="N3" s="98" t="s">
        <v>20</v>
      </c>
      <c r="O3" s="98" t="s">
        <v>21</v>
      </c>
      <c r="P3" s="98" t="s">
        <v>22</v>
      </c>
      <c r="Q3" s="98" t="s">
        <v>23</v>
      </c>
      <c r="R3" s="98"/>
      <c r="S3" s="98" t="s">
        <v>24</v>
      </c>
      <c r="T3" s="98"/>
      <c r="U3" s="97" t="s">
        <v>25</v>
      </c>
      <c r="V3" s="98" t="s">
        <v>22</v>
      </c>
      <c r="W3" s="96"/>
      <c r="X3" s="149"/>
    </row>
    <row r="4" spans="1:24" ht="15">
      <c r="A4" s="151"/>
      <c r="B4" s="151"/>
      <c r="C4" s="151"/>
      <c r="D4" s="151"/>
      <c r="E4" s="151"/>
      <c r="F4" s="151"/>
      <c r="G4" s="151"/>
      <c r="H4" s="10" t="s">
        <v>26</v>
      </c>
      <c r="I4" s="10" t="s">
        <v>27</v>
      </c>
      <c r="J4" s="10" t="s">
        <v>26</v>
      </c>
      <c r="K4" s="11" t="s">
        <v>28</v>
      </c>
      <c r="L4" s="151"/>
      <c r="M4" s="151"/>
      <c r="N4" s="152"/>
      <c r="O4" s="152"/>
      <c r="P4" s="152"/>
      <c r="Q4" s="10" t="s">
        <v>29</v>
      </c>
      <c r="R4" s="11" t="s">
        <v>30</v>
      </c>
      <c r="S4" s="10" t="s">
        <v>29</v>
      </c>
      <c r="T4" s="11" t="s">
        <v>30</v>
      </c>
      <c r="U4" s="151"/>
      <c r="V4" s="152"/>
      <c r="W4" s="153"/>
      <c r="X4" s="150"/>
    </row>
    <row r="5" spans="1:24" ht="15">
      <c r="A5" s="77" t="s">
        <v>595</v>
      </c>
      <c r="B5" s="77" t="s">
        <v>544</v>
      </c>
      <c r="C5" s="77" t="s">
        <v>545</v>
      </c>
      <c r="D5" s="80">
        <v>353</v>
      </c>
      <c r="E5" s="94" t="s">
        <v>547</v>
      </c>
      <c r="F5" s="94" t="s">
        <v>608</v>
      </c>
      <c r="G5" s="94" t="s">
        <v>36</v>
      </c>
      <c r="H5" s="94" t="s">
        <v>37</v>
      </c>
      <c r="I5" s="94" t="s">
        <v>38</v>
      </c>
      <c r="J5" s="94" t="s">
        <v>598</v>
      </c>
      <c r="K5" s="94" t="s">
        <v>391</v>
      </c>
      <c r="L5" s="69">
        <v>44489</v>
      </c>
      <c r="M5" s="69">
        <v>44491</v>
      </c>
      <c r="N5" s="70">
        <f>666.8/2</f>
        <v>333.4</v>
      </c>
      <c r="O5" s="70">
        <f>666.8/2</f>
        <v>333.4</v>
      </c>
      <c r="P5" s="70">
        <f t="shared" ref="P5:P28" si="0">SUM(N5:O5)</f>
        <v>666.8</v>
      </c>
      <c r="Q5" s="53">
        <v>3</v>
      </c>
      <c r="R5" s="70">
        <v>120</v>
      </c>
      <c r="S5" s="53">
        <v>0</v>
      </c>
      <c r="T5" s="70">
        <v>0</v>
      </c>
      <c r="U5" s="70">
        <f t="shared" ref="U5:U8" si="1">(Q5*R5)+(S5*T5)</f>
        <v>360</v>
      </c>
      <c r="V5" s="70">
        <f t="shared" ref="V5:V8" si="2">U5+P5</f>
        <v>1026.8</v>
      </c>
      <c r="W5" s="70">
        <f t="shared" ref="W5:W8" si="3">V5</f>
        <v>1026.8</v>
      </c>
      <c r="X5" s="53"/>
    </row>
    <row r="6" spans="1:24" ht="15">
      <c r="A6" s="77" t="s">
        <v>595</v>
      </c>
      <c r="B6" s="77" t="s">
        <v>366</v>
      </c>
      <c r="C6" s="77" t="s">
        <v>367</v>
      </c>
      <c r="D6" s="80">
        <v>23</v>
      </c>
      <c r="E6" s="94" t="s">
        <v>609</v>
      </c>
      <c r="F6" s="94" t="s">
        <v>608</v>
      </c>
      <c r="G6" s="94" t="s">
        <v>36</v>
      </c>
      <c r="H6" s="94" t="s">
        <v>37</v>
      </c>
      <c r="I6" s="94" t="s">
        <v>38</v>
      </c>
      <c r="J6" s="94" t="s">
        <v>598</v>
      </c>
      <c r="K6" s="94" t="s">
        <v>391</v>
      </c>
      <c r="L6" s="69">
        <v>44489</v>
      </c>
      <c r="M6" s="69">
        <v>44491</v>
      </c>
      <c r="N6" s="70">
        <f t="shared" ref="N6:O8" si="4">468.04/2</f>
        <v>234.02</v>
      </c>
      <c r="O6" s="70">
        <f t="shared" si="4"/>
        <v>234.02</v>
      </c>
      <c r="P6" s="70">
        <f t="shared" si="0"/>
        <v>468.04</v>
      </c>
      <c r="Q6" s="53">
        <v>3</v>
      </c>
      <c r="R6" s="70">
        <v>120</v>
      </c>
      <c r="S6" s="53">
        <v>0</v>
      </c>
      <c r="T6" s="70">
        <v>0</v>
      </c>
      <c r="U6" s="70">
        <f t="shared" si="1"/>
        <v>360</v>
      </c>
      <c r="V6" s="70">
        <f t="shared" si="2"/>
        <v>828.04</v>
      </c>
      <c r="W6" s="70">
        <f t="shared" si="3"/>
        <v>828.04</v>
      </c>
      <c r="X6" s="53"/>
    </row>
    <row r="7" spans="1:24" ht="15">
      <c r="A7" s="77" t="s">
        <v>595</v>
      </c>
      <c r="B7" s="77" t="s">
        <v>221</v>
      </c>
      <c r="C7" s="77" t="s">
        <v>54</v>
      </c>
      <c r="D7" s="80">
        <v>56</v>
      </c>
      <c r="E7" s="94" t="s">
        <v>610</v>
      </c>
      <c r="F7" s="94" t="s">
        <v>608</v>
      </c>
      <c r="G7" s="94" t="s">
        <v>36</v>
      </c>
      <c r="H7" s="94" t="s">
        <v>37</v>
      </c>
      <c r="I7" s="94" t="s">
        <v>38</v>
      </c>
      <c r="J7" s="94" t="s">
        <v>598</v>
      </c>
      <c r="K7" s="94" t="s">
        <v>391</v>
      </c>
      <c r="L7" s="69">
        <v>44489</v>
      </c>
      <c r="M7" s="69">
        <v>44491</v>
      </c>
      <c r="N7" s="70">
        <f t="shared" si="4"/>
        <v>234.02</v>
      </c>
      <c r="O7" s="70">
        <f t="shared" si="4"/>
        <v>234.02</v>
      </c>
      <c r="P7" s="70">
        <f t="shared" si="0"/>
        <v>468.04</v>
      </c>
      <c r="Q7" s="53">
        <v>3</v>
      </c>
      <c r="R7" s="70">
        <v>12</v>
      </c>
      <c r="S7" s="53">
        <v>3</v>
      </c>
      <c r="T7" s="70">
        <v>100</v>
      </c>
      <c r="U7" s="70">
        <f t="shared" si="1"/>
        <v>336</v>
      </c>
      <c r="V7" s="70">
        <f t="shared" si="2"/>
        <v>804.04</v>
      </c>
      <c r="W7" s="70">
        <f t="shared" si="3"/>
        <v>804.04</v>
      </c>
      <c r="X7" s="53"/>
    </row>
    <row r="8" spans="1:24" ht="15">
      <c r="A8" s="77" t="s">
        <v>595</v>
      </c>
      <c r="B8" s="77" t="s">
        <v>221</v>
      </c>
      <c r="C8" s="77" t="s">
        <v>277</v>
      </c>
      <c r="D8" s="80">
        <v>157</v>
      </c>
      <c r="E8" s="94" t="s">
        <v>501</v>
      </c>
      <c r="F8" s="94" t="s">
        <v>608</v>
      </c>
      <c r="G8" s="94" t="s">
        <v>36</v>
      </c>
      <c r="H8" s="94" t="s">
        <v>37</v>
      </c>
      <c r="I8" s="94" t="s">
        <v>38</v>
      </c>
      <c r="J8" s="94" t="s">
        <v>598</v>
      </c>
      <c r="K8" s="94" t="s">
        <v>391</v>
      </c>
      <c r="L8" s="69">
        <v>44489</v>
      </c>
      <c r="M8" s="69">
        <v>44491</v>
      </c>
      <c r="N8" s="70">
        <f t="shared" si="4"/>
        <v>234.02</v>
      </c>
      <c r="O8" s="70">
        <f t="shared" si="4"/>
        <v>234.02</v>
      </c>
      <c r="P8" s="70">
        <f t="shared" si="0"/>
        <v>468.04</v>
      </c>
      <c r="Q8" s="53">
        <v>3</v>
      </c>
      <c r="R8" s="70">
        <v>120</v>
      </c>
      <c r="S8" s="53">
        <v>0</v>
      </c>
      <c r="T8" s="70">
        <v>0</v>
      </c>
      <c r="U8" s="70">
        <f t="shared" si="1"/>
        <v>360</v>
      </c>
      <c r="V8" s="70">
        <f t="shared" si="2"/>
        <v>828.04</v>
      </c>
      <c r="W8" s="70">
        <f t="shared" si="3"/>
        <v>828.04</v>
      </c>
      <c r="X8" s="53"/>
    </row>
    <row r="9" spans="1:24" ht="15">
      <c r="A9" s="77" t="s">
        <v>595</v>
      </c>
      <c r="B9" s="77" t="s">
        <v>595</v>
      </c>
      <c r="C9" s="77" t="s">
        <v>412</v>
      </c>
      <c r="D9" s="86">
        <v>0</v>
      </c>
      <c r="E9" s="94" t="s">
        <v>562</v>
      </c>
      <c r="F9" s="94" t="s">
        <v>608</v>
      </c>
      <c r="G9" s="94" t="s">
        <v>36</v>
      </c>
      <c r="H9" s="94" t="s">
        <v>37</v>
      </c>
      <c r="I9" s="94" t="s">
        <v>38</v>
      </c>
      <c r="J9" s="94" t="s">
        <v>598</v>
      </c>
      <c r="K9" s="94" t="s">
        <v>391</v>
      </c>
      <c r="L9" s="69">
        <v>44489</v>
      </c>
      <c r="M9" s="69">
        <v>44492</v>
      </c>
      <c r="N9" s="70">
        <f>1850.95/2</f>
        <v>925.47500000000002</v>
      </c>
      <c r="O9" s="70">
        <f>1850.95/2</f>
        <v>925.47500000000002</v>
      </c>
      <c r="P9" s="70">
        <f t="shared" si="0"/>
        <v>1850.95</v>
      </c>
      <c r="Q9" s="53">
        <v>0</v>
      </c>
      <c r="R9" s="70">
        <v>0</v>
      </c>
      <c r="S9" s="53">
        <v>0</v>
      </c>
      <c r="T9" s="70">
        <v>0</v>
      </c>
      <c r="U9" s="70">
        <f t="shared" ref="U9:U27" si="5">(Q9*R9)+(S9*T9)</f>
        <v>0</v>
      </c>
      <c r="V9" s="70">
        <f t="shared" ref="V9:V27" si="6">U9+P9</f>
        <v>1850.95</v>
      </c>
      <c r="W9" s="70">
        <f t="shared" ref="W9:W27" si="7">V9</f>
        <v>1850.95</v>
      </c>
      <c r="X9" s="44"/>
    </row>
    <row r="10" spans="1:24" ht="15">
      <c r="A10" s="77" t="s">
        <v>371</v>
      </c>
      <c r="B10" s="77" t="s">
        <v>371</v>
      </c>
      <c r="C10" s="77" t="s">
        <v>137</v>
      </c>
      <c r="D10" s="80">
        <v>202</v>
      </c>
      <c r="E10" s="94" t="s">
        <v>78</v>
      </c>
      <c r="F10" s="94" t="s">
        <v>608</v>
      </c>
      <c r="G10" s="94" t="s">
        <v>36</v>
      </c>
      <c r="H10" s="94" t="s">
        <v>37</v>
      </c>
      <c r="I10" s="94" t="s">
        <v>38</v>
      </c>
      <c r="J10" s="94" t="s">
        <v>598</v>
      </c>
      <c r="K10" s="94" t="s">
        <v>391</v>
      </c>
      <c r="L10" s="69">
        <v>44489</v>
      </c>
      <c r="M10" s="69">
        <v>44491</v>
      </c>
      <c r="N10" s="70">
        <f>1529.81/2</f>
        <v>764.90499999999997</v>
      </c>
      <c r="O10" s="70">
        <f>1529.81/2</f>
        <v>764.90499999999997</v>
      </c>
      <c r="P10" s="70">
        <f t="shared" si="0"/>
        <v>1529.81</v>
      </c>
      <c r="Q10" s="53">
        <v>3</v>
      </c>
      <c r="R10" s="70">
        <v>120</v>
      </c>
      <c r="S10" s="53">
        <v>0</v>
      </c>
      <c r="T10" s="70">
        <v>0</v>
      </c>
      <c r="U10" s="70">
        <f t="shared" si="5"/>
        <v>360</v>
      </c>
      <c r="V10" s="70">
        <f t="shared" si="6"/>
        <v>1889.81</v>
      </c>
      <c r="W10" s="70">
        <f t="shared" si="7"/>
        <v>1889.81</v>
      </c>
      <c r="X10" s="44"/>
    </row>
    <row r="11" spans="1:24" ht="15">
      <c r="A11" s="77" t="s">
        <v>253</v>
      </c>
      <c r="B11" s="77" t="s">
        <v>259</v>
      </c>
      <c r="C11" s="77" t="s">
        <v>433</v>
      </c>
      <c r="D11" s="80">
        <v>264</v>
      </c>
      <c r="E11" s="94" t="s">
        <v>611</v>
      </c>
      <c r="F11" s="94" t="s">
        <v>608</v>
      </c>
      <c r="G11" s="94" t="s">
        <v>36</v>
      </c>
      <c r="H11" s="94" t="s">
        <v>37</v>
      </c>
      <c r="I11" s="94" t="s">
        <v>38</v>
      </c>
      <c r="J11" s="94" t="s">
        <v>598</v>
      </c>
      <c r="K11" s="94" t="s">
        <v>391</v>
      </c>
      <c r="L11" s="69">
        <v>44489</v>
      </c>
      <c r="M11" s="69">
        <v>44491</v>
      </c>
      <c r="N11" s="70">
        <v>1690.94</v>
      </c>
      <c r="O11" s="70">
        <v>1471.62</v>
      </c>
      <c r="P11" s="70">
        <f t="shared" si="0"/>
        <v>3162.56</v>
      </c>
      <c r="Q11" s="53">
        <v>3</v>
      </c>
      <c r="R11" s="70">
        <v>120</v>
      </c>
      <c r="S11" s="53">
        <v>0</v>
      </c>
      <c r="T11" s="70">
        <v>0</v>
      </c>
      <c r="U11" s="70">
        <f t="shared" si="5"/>
        <v>360</v>
      </c>
      <c r="V11" s="70">
        <f t="shared" si="6"/>
        <v>3522.56</v>
      </c>
      <c r="W11" s="70">
        <f t="shared" si="7"/>
        <v>3522.56</v>
      </c>
      <c r="X11" s="44"/>
    </row>
    <row r="12" spans="1:24" ht="15">
      <c r="A12" s="77" t="s">
        <v>253</v>
      </c>
      <c r="B12" s="77" t="s">
        <v>253</v>
      </c>
      <c r="C12" s="77" t="s">
        <v>486</v>
      </c>
      <c r="D12" s="86">
        <v>0</v>
      </c>
      <c r="E12" s="94" t="s">
        <v>50</v>
      </c>
      <c r="F12" s="94" t="s">
        <v>608</v>
      </c>
      <c r="G12" s="94" t="s">
        <v>36</v>
      </c>
      <c r="H12" s="94" t="s">
        <v>37</v>
      </c>
      <c r="I12" s="94" t="s">
        <v>38</v>
      </c>
      <c r="J12" s="94" t="s">
        <v>598</v>
      </c>
      <c r="K12" s="94" t="s">
        <v>391</v>
      </c>
      <c r="L12" s="69">
        <v>44489</v>
      </c>
      <c r="M12" s="69">
        <v>44490</v>
      </c>
      <c r="N12" s="70">
        <f>716.46/2</f>
        <v>358.23</v>
      </c>
      <c r="O12" s="70">
        <f>716.46/2</f>
        <v>358.23</v>
      </c>
      <c r="P12" s="70">
        <f t="shared" si="0"/>
        <v>716.46</v>
      </c>
      <c r="Q12" s="53">
        <v>0</v>
      </c>
      <c r="R12" s="70">
        <v>0</v>
      </c>
      <c r="S12" s="53">
        <v>0</v>
      </c>
      <c r="T12" s="70">
        <v>0</v>
      </c>
      <c r="U12" s="70">
        <f t="shared" si="5"/>
        <v>0</v>
      </c>
      <c r="V12" s="70">
        <f t="shared" si="6"/>
        <v>716.46</v>
      </c>
      <c r="W12" s="70">
        <f t="shared" si="7"/>
        <v>716.46</v>
      </c>
      <c r="X12" s="44"/>
    </row>
    <row r="13" spans="1:24" ht="15">
      <c r="A13" s="77" t="s">
        <v>253</v>
      </c>
      <c r="B13" s="77" t="s">
        <v>212</v>
      </c>
      <c r="C13" s="77" t="s">
        <v>387</v>
      </c>
      <c r="D13" s="86">
        <v>347</v>
      </c>
      <c r="E13" s="94" t="s">
        <v>34</v>
      </c>
      <c r="F13" s="94" t="s">
        <v>608</v>
      </c>
      <c r="G13" s="94" t="s">
        <v>36</v>
      </c>
      <c r="H13" s="94" t="s">
        <v>37</v>
      </c>
      <c r="I13" s="94" t="s">
        <v>38</v>
      </c>
      <c r="J13" s="94" t="s">
        <v>598</v>
      </c>
      <c r="K13" s="94" t="s">
        <v>391</v>
      </c>
      <c r="L13" s="69">
        <v>44489</v>
      </c>
      <c r="M13" s="69">
        <v>44490</v>
      </c>
      <c r="N13" s="70">
        <f>439.46/2</f>
        <v>219.73</v>
      </c>
      <c r="O13" s="70">
        <f>439.46/2</f>
        <v>219.73</v>
      </c>
      <c r="P13" s="70">
        <f t="shared" si="0"/>
        <v>439.46</v>
      </c>
      <c r="Q13" s="53">
        <v>2</v>
      </c>
      <c r="R13" s="70">
        <v>120</v>
      </c>
      <c r="S13" s="53">
        <v>0</v>
      </c>
      <c r="T13" s="70">
        <v>0</v>
      </c>
      <c r="U13" s="70">
        <f t="shared" si="5"/>
        <v>240</v>
      </c>
      <c r="V13" s="70">
        <f t="shared" si="6"/>
        <v>679.46</v>
      </c>
      <c r="W13" s="70">
        <f t="shared" si="7"/>
        <v>679.46</v>
      </c>
      <c r="X13" s="44"/>
    </row>
    <row r="14" spans="1:24" ht="15">
      <c r="A14" s="77" t="s">
        <v>253</v>
      </c>
      <c r="B14" s="77" t="s">
        <v>253</v>
      </c>
      <c r="C14" s="77" t="s">
        <v>320</v>
      </c>
      <c r="D14" s="80">
        <v>346</v>
      </c>
      <c r="E14" s="94" t="s">
        <v>78</v>
      </c>
      <c r="F14" s="94" t="s">
        <v>608</v>
      </c>
      <c r="G14" s="94" t="s">
        <v>36</v>
      </c>
      <c r="H14" s="94" t="s">
        <v>37</v>
      </c>
      <c r="I14" s="94" t="s">
        <v>38</v>
      </c>
      <c r="J14" s="94" t="s">
        <v>598</v>
      </c>
      <c r="K14" s="94" t="s">
        <v>391</v>
      </c>
      <c r="L14" s="69">
        <v>44489</v>
      </c>
      <c r="M14" s="69">
        <v>44490</v>
      </c>
      <c r="N14" s="70">
        <f>439.46/2</f>
        <v>219.73</v>
      </c>
      <c r="O14" s="70">
        <f>439.46/2</f>
        <v>219.73</v>
      </c>
      <c r="P14" s="70">
        <f t="shared" si="0"/>
        <v>439.46</v>
      </c>
      <c r="Q14" s="53">
        <v>2</v>
      </c>
      <c r="R14" s="70">
        <v>120</v>
      </c>
      <c r="S14" s="53">
        <v>0</v>
      </c>
      <c r="T14" s="70">
        <v>0</v>
      </c>
      <c r="U14" s="70">
        <f t="shared" si="5"/>
        <v>240</v>
      </c>
      <c r="V14" s="70">
        <f t="shared" si="6"/>
        <v>679.46</v>
      </c>
      <c r="W14" s="70">
        <f t="shared" si="7"/>
        <v>679.46</v>
      </c>
      <c r="X14" s="44"/>
    </row>
    <row r="15" spans="1:24" ht="15">
      <c r="A15" s="77" t="s">
        <v>253</v>
      </c>
      <c r="B15" s="77" t="s">
        <v>288</v>
      </c>
      <c r="C15" s="77" t="s">
        <v>237</v>
      </c>
      <c r="D15" s="80">
        <v>82</v>
      </c>
      <c r="E15" s="94" t="s">
        <v>84</v>
      </c>
      <c r="F15" s="94" t="s">
        <v>608</v>
      </c>
      <c r="G15" s="94" t="s">
        <v>36</v>
      </c>
      <c r="H15" s="94" t="s">
        <v>37</v>
      </c>
      <c r="I15" s="94" t="s">
        <v>38</v>
      </c>
      <c r="J15" s="94" t="s">
        <v>598</v>
      </c>
      <c r="K15" s="94" t="s">
        <v>391</v>
      </c>
      <c r="L15" s="69">
        <v>44489</v>
      </c>
      <c r="M15" s="69">
        <v>44490</v>
      </c>
      <c r="N15" s="70">
        <f>671.21/2</f>
        <v>335.60500000000002</v>
      </c>
      <c r="O15" s="70">
        <f>671.21/2</f>
        <v>335.60500000000002</v>
      </c>
      <c r="P15" s="70">
        <f t="shared" si="0"/>
        <v>671.21</v>
      </c>
      <c r="Q15" s="53">
        <v>2</v>
      </c>
      <c r="R15" s="70">
        <v>120</v>
      </c>
      <c r="S15" s="53">
        <v>0</v>
      </c>
      <c r="T15" s="70">
        <v>0</v>
      </c>
      <c r="U15" s="70">
        <f t="shared" si="5"/>
        <v>240</v>
      </c>
      <c r="V15" s="70">
        <f t="shared" si="6"/>
        <v>911.21</v>
      </c>
      <c r="W15" s="70">
        <f t="shared" si="7"/>
        <v>911.21</v>
      </c>
      <c r="X15" s="44"/>
    </row>
    <row r="16" spans="1:24" ht="15">
      <c r="A16" s="77" t="s">
        <v>371</v>
      </c>
      <c r="B16" s="77" t="s">
        <v>371</v>
      </c>
      <c r="C16" s="77" t="s">
        <v>79</v>
      </c>
      <c r="D16" s="86">
        <v>0</v>
      </c>
      <c r="E16" s="94" t="s">
        <v>80</v>
      </c>
      <c r="F16" s="94" t="s">
        <v>608</v>
      </c>
      <c r="G16" s="94" t="s">
        <v>36</v>
      </c>
      <c r="H16" s="94" t="s">
        <v>37</v>
      </c>
      <c r="I16" s="94" t="s">
        <v>38</v>
      </c>
      <c r="J16" s="94" t="s">
        <v>598</v>
      </c>
      <c r="K16" s="94" t="s">
        <v>391</v>
      </c>
      <c r="L16" s="69">
        <v>44489</v>
      </c>
      <c r="M16" s="69">
        <v>44491</v>
      </c>
      <c r="N16" s="70">
        <f>439.46/2</f>
        <v>219.73</v>
      </c>
      <c r="O16" s="70">
        <f>439.46/2</f>
        <v>219.73</v>
      </c>
      <c r="P16" s="70">
        <f t="shared" si="0"/>
        <v>439.46</v>
      </c>
      <c r="Q16" s="53">
        <v>0</v>
      </c>
      <c r="R16" s="70">
        <v>0</v>
      </c>
      <c r="S16" s="53">
        <v>0</v>
      </c>
      <c r="T16" s="70">
        <v>0</v>
      </c>
      <c r="U16" s="70">
        <f t="shared" si="5"/>
        <v>0</v>
      </c>
      <c r="V16" s="70">
        <f t="shared" si="6"/>
        <v>439.46</v>
      </c>
      <c r="W16" s="70">
        <f t="shared" si="7"/>
        <v>439.46</v>
      </c>
      <c r="X16" s="44"/>
    </row>
    <row r="17" spans="1:24" ht="15">
      <c r="A17" s="77" t="s">
        <v>595</v>
      </c>
      <c r="B17" s="77" t="s">
        <v>305</v>
      </c>
      <c r="C17" s="77" t="s">
        <v>612</v>
      </c>
      <c r="D17" s="86">
        <v>355</v>
      </c>
      <c r="E17" s="94" t="s">
        <v>308</v>
      </c>
      <c r="F17" s="94" t="s">
        <v>608</v>
      </c>
      <c r="G17" s="94" t="s">
        <v>36</v>
      </c>
      <c r="H17" s="94" t="s">
        <v>37</v>
      </c>
      <c r="I17" s="94" t="s">
        <v>38</v>
      </c>
      <c r="J17" s="94" t="s">
        <v>598</v>
      </c>
      <c r="K17" s="94" t="s">
        <v>391</v>
      </c>
      <c r="L17" s="69">
        <v>44489</v>
      </c>
      <c r="M17" s="69">
        <v>44493</v>
      </c>
      <c r="N17" s="70">
        <f>517.81/2</f>
        <v>258.90499999999997</v>
      </c>
      <c r="O17" s="70">
        <f>517.81/2</f>
        <v>258.90499999999997</v>
      </c>
      <c r="P17" s="70">
        <f t="shared" si="0"/>
        <v>517.80999999999995</v>
      </c>
      <c r="Q17" s="53">
        <v>5</v>
      </c>
      <c r="R17" s="70">
        <v>120</v>
      </c>
      <c r="S17" s="53">
        <v>0</v>
      </c>
      <c r="T17" s="70">
        <v>0</v>
      </c>
      <c r="U17" s="70">
        <f t="shared" si="5"/>
        <v>600</v>
      </c>
      <c r="V17" s="70">
        <f t="shared" si="6"/>
        <v>1117.81</v>
      </c>
      <c r="W17" s="70">
        <f t="shared" si="7"/>
        <v>1117.81</v>
      </c>
      <c r="X17" s="44"/>
    </row>
    <row r="18" spans="1:24" ht="15">
      <c r="A18" s="77" t="s">
        <v>253</v>
      </c>
      <c r="B18" s="77" t="s">
        <v>259</v>
      </c>
      <c r="C18" s="77" t="s">
        <v>613</v>
      </c>
      <c r="D18" s="86">
        <v>372</v>
      </c>
      <c r="E18" s="94" t="s">
        <v>614</v>
      </c>
      <c r="F18" s="94" t="s">
        <v>608</v>
      </c>
      <c r="G18" s="94" t="s">
        <v>36</v>
      </c>
      <c r="H18" s="94" t="s">
        <v>37</v>
      </c>
      <c r="I18" s="94" t="s">
        <v>38</v>
      </c>
      <c r="J18" s="94" t="s">
        <v>598</v>
      </c>
      <c r="K18" s="94" t="s">
        <v>391</v>
      </c>
      <c r="L18" s="69">
        <v>44488</v>
      </c>
      <c r="M18" s="69">
        <v>44491</v>
      </c>
      <c r="N18" s="70">
        <f>695.49/2</f>
        <v>347.745</v>
      </c>
      <c r="O18" s="70">
        <f>695.49/2</f>
        <v>347.745</v>
      </c>
      <c r="P18" s="70">
        <f t="shared" si="0"/>
        <v>695.49</v>
      </c>
      <c r="Q18" s="53">
        <v>4</v>
      </c>
      <c r="R18" s="70">
        <v>120</v>
      </c>
      <c r="S18" s="53">
        <v>0</v>
      </c>
      <c r="T18" s="70">
        <v>0</v>
      </c>
      <c r="U18" s="70">
        <f t="shared" si="5"/>
        <v>480</v>
      </c>
      <c r="V18" s="70">
        <f t="shared" si="6"/>
        <v>1175.49</v>
      </c>
      <c r="W18" s="70">
        <f t="shared" si="7"/>
        <v>1175.49</v>
      </c>
      <c r="X18" s="44"/>
    </row>
    <row r="19" spans="1:24" ht="15">
      <c r="A19" s="77" t="s">
        <v>253</v>
      </c>
      <c r="B19" s="77" t="s">
        <v>259</v>
      </c>
      <c r="C19" s="77" t="s">
        <v>383</v>
      </c>
      <c r="D19" s="86">
        <v>64</v>
      </c>
      <c r="E19" s="94" t="s">
        <v>265</v>
      </c>
      <c r="F19" s="94" t="s">
        <v>608</v>
      </c>
      <c r="G19" s="94" t="s">
        <v>36</v>
      </c>
      <c r="H19" s="94" t="s">
        <v>37</v>
      </c>
      <c r="I19" s="94" t="s">
        <v>38</v>
      </c>
      <c r="J19" s="94" t="s">
        <v>598</v>
      </c>
      <c r="K19" s="94" t="s">
        <v>391</v>
      </c>
      <c r="L19" s="69">
        <v>44488</v>
      </c>
      <c r="M19" s="69">
        <v>44491</v>
      </c>
      <c r="N19" s="70">
        <v>1398.26</v>
      </c>
      <c r="O19" s="70">
        <v>1471.62</v>
      </c>
      <c r="P19" s="70">
        <f t="shared" si="0"/>
        <v>2869.88</v>
      </c>
      <c r="Q19" s="53">
        <v>4</v>
      </c>
      <c r="R19" s="70">
        <v>120</v>
      </c>
      <c r="S19" s="53">
        <v>0</v>
      </c>
      <c r="T19" s="70">
        <v>0</v>
      </c>
      <c r="U19" s="70">
        <f t="shared" si="5"/>
        <v>480</v>
      </c>
      <c r="V19" s="70">
        <f t="shared" si="6"/>
        <v>3349.88</v>
      </c>
      <c r="W19" s="70">
        <f t="shared" si="7"/>
        <v>3349.88</v>
      </c>
      <c r="X19" s="44"/>
    </row>
    <row r="20" spans="1:24" ht="15">
      <c r="A20" s="77" t="s">
        <v>595</v>
      </c>
      <c r="B20" s="77" t="s">
        <v>305</v>
      </c>
      <c r="C20" s="77" t="s">
        <v>615</v>
      </c>
      <c r="D20" s="86">
        <v>366</v>
      </c>
      <c r="E20" s="94" t="s">
        <v>616</v>
      </c>
      <c r="F20" s="94" t="s">
        <v>608</v>
      </c>
      <c r="G20" s="94" t="s">
        <v>36</v>
      </c>
      <c r="H20" s="94" t="s">
        <v>37</v>
      </c>
      <c r="I20" s="94" t="s">
        <v>38</v>
      </c>
      <c r="J20" s="94" t="s">
        <v>598</v>
      </c>
      <c r="K20" s="94" t="s">
        <v>391</v>
      </c>
      <c r="L20" s="69">
        <v>44489</v>
      </c>
      <c r="M20" s="69">
        <v>44491</v>
      </c>
      <c r="N20" s="70">
        <f>671.21/2</f>
        <v>335.60500000000002</v>
      </c>
      <c r="O20" s="70">
        <f>671.21/2</f>
        <v>335.60500000000002</v>
      </c>
      <c r="P20" s="70">
        <f t="shared" si="0"/>
        <v>671.21</v>
      </c>
      <c r="Q20" s="53">
        <v>3</v>
      </c>
      <c r="R20" s="70">
        <v>120</v>
      </c>
      <c r="S20" s="53">
        <v>0</v>
      </c>
      <c r="T20" s="70">
        <v>0</v>
      </c>
      <c r="U20" s="70">
        <f t="shared" si="5"/>
        <v>360</v>
      </c>
      <c r="V20" s="70">
        <f t="shared" si="6"/>
        <v>1031.21</v>
      </c>
      <c r="W20" s="70">
        <f t="shared" si="7"/>
        <v>1031.21</v>
      </c>
      <c r="X20" s="44"/>
    </row>
    <row r="21" spans="1:24" ht="15">
      <c r="A21" s="77" t="s">
        <v>253</v>
      </c>
      <c r="B21" s="77" t="s">
        <v>212</v>
      </c>
      <c r="C21" s="77" t="s">
        <v>387</v>
      </c>
      <c r="D21" s="86">
        <v>347</v>
      </c>
      <c r="E21" s="94" t="s">
        <v>34</v>
      </c>
      <c r="F21" s="94" t="s">
        <v>605</v>
      </c>
      <c r="G21" s="94" t="s">
        <v>36</v>
      </c>
      <c r="H21" s="94" t="s">
        <v>37</v>
      </c>
      <c r="I21" s="94" t="s">
        <v>38</v>
      </c>
      <c r="J21" s="94" t="s">
        <v>598</v>
      </c>
      <c r="K21" s="94" t="s">
        <v>391</v>
      </c>
      <c r="L21" s="69">
        <v>44474</v>
      </c>
      <c r="M21" s="69">
        <v>44476</v>
      </c>
      <c r="N21" s="70">
        <f>1125.89/2</f>
        <v>562.94500000000005</v>
      </c>
      <c r="O21" s="70">
        <f>1125.89/2</f>
        <v>562.94500000000005</v>
      </c>
      <c r="P21" s="70">
        <f t="shared" si="0"/>
        <v>1125.8900000000001</v>
      </c>
      <c r="Q21" s="53">
        <v>3</v>
      </c>
      <c r="R21" s="70">
        <v>120</v>
      </c>
      <c r="S21" s="53">
        <v>0</v>
      </c>
      <c r="T21" s="70">
        <v>0</v>
      </c>
      <c r="U21" s="70">
        <f t="shared" si="5"/>
        <v>360</v>
      </c>
      <c r="V21" s="70">
        <f t="shared" si="6"/>
        <v>1485.89</v>
      </c>
      <c r="W21" s="70">
        <f t="shared" si="7"/>
        <v>1485.89</v>
      </c>
      <c r="X21" s="44"/>
    </row>
    <row r="22" spans="1:24" ht="15">
      <c r="A22" s="77" t="s">
        <v>371</v>
      </c>
      <c r="B22" s="77" t="s">
        <v>371</v>
      </c>
      <c r="C22" s="77" t="s">
        <v>617</v>
      </c>
      <c r="D22" s="86">
        <v>57</v>
      </c>
      <c r="E22" s="94" t="s">
        <v>618</v>
      </c>
      <c r="F22" s="94" t="s">
        <v>608</v>
      </c>
      <c r="G22" s="94" t="s">
        <v>36</v>
      </c>
      <c r="H22" s="94" t="s">
        <v>37</v>
      </c>
      <c r="I22" s="94" t="s">
        <v>38</v>
      </c>
      <c r="J22" s="94" t="s">
        <v>598</v>
      </c>
      <c r="K22" s="94" t="s">
        <v>391</v>
      </c>
      <c r="L22" s="69">
        <v>44489</v>
      </c>
      <c r="M22" s="69">
        <v>44492</v>
      </c>
      <c r="N22" s="70">
        <f>699.9/2</f>
        <v>349.95</v>
      </c>
      <c r="O22" s="70">
        <f>699.9/2</f>
        <v>349.95</v>
      </c>
      <c r="P22" s="70">
        <f t="shared" si="0"/>
        <v>699.9</v>
      </c>
      <c r="Q22" s="53">
        <v>4</v>
      </c>
      <c r="R22" s="70">
        <v>120</v>
      </c>
      <c r="S22" s="53">
        <v>0</v>
      </c>
      <c r="T22" s="70">
        <v>0</v>
      </c>
      <c r="U22" s="70">
        <f t="shared" si="5"/>
        <v>480</v>
      </c>
      <c r="V22" s="70">
        <f t="shared" si="6"/>
        <v>1179.9000000000001</v>
      </c>
      <c r="W22" s="70">
        <f t="shared" si="7"/>
        <v>1179.9000000000001</v>
      </c>
      <c r="X22" s="44"/>
    </row>
    <row r="23" spans="1:24" ht="15">
      <c r="A23" s="77" t="s">
        <v>253</v>
      </c>
      <c r="B23" s="77" t="s">
        <v>288</v>
      </c>
      <c r="C23" s="77" t="s">
        <v>345</v>
      </c>
      <c r="D23" s="86">
        <v>74</v>
      </c>
      <c r="E23" s="94" t="s">
        <v>315</v>
      </c>
      <c r="F23" s="94" t="s">
        <v>619</v>
      </c>
      <c r="G23" s="94" t="s">
        <v>36</v>
      </c>
      <c r="H23" s="94" t="s">
        <v>37</v>
      </c>
      <c r="I23" s="94" t="s">
        <v>38</v>
      </c>
      <c r="J23" s="94" t="s">
        <v>598</v>
      </c>
      <c r="K23" s="94" t="s">
        <v>391</v>
      </c>
      <c r="L23" s="69">
        <v>44476</v>
      </c>
      <c r="M23" s="69">
        <v>44491</v>
      </c>
      <c r="N23" s="70">
        <f>1203.13/2</f>
        <v>601.56500000000005</v>
      </c>
      <c r="O23" s="70">
        <f>1203.13/2</f>
        <v>601.56500000000005</v>
      </c>
      <c r="P23" s="70">
        <f t="shared" si="0"/>
        <v>1203.1300000000001</v>
      </c>
      <c r="Q23" s="53">
        <v>16</v>
      </c>
      <c r="R23" s="70">
        <v>120</v>
      </c>
      <c r="S23" s="53">
        <v>0</v>
      </c>
      <c r="T23" s="70">
        <v>0</v>
      </c>
      <c r="U23" s="70">
        <f t="shared" si="5"/>
        <v>1920</v>
      </c>
      <c r="V23" s="70">
        <f t="shared" si="6"/>
        <v>3123.13</v>
      </c>
      <c r="W23" s="70">
        <f t="shared" si="7"/>
        <v>3123.13</v>
      </c>
      <c r="X23" s="44"/>
    </row>
    <row r="24" spans="1:24" ht="15">
      <c r="A24" s="77" t="s">
        <v>253</v>
      </c>
      <c r="B24" s="77" t="s">
        <v>234</v>
      </c>
      <c r="C24" s="77" t="s">
        <v>620</v>
      </c>
      <c r="D24" s="86">
        <v>365</v>
      </c>
      <c r="E24" s="94" t="s">
        <v>239</v>
      </c>
      <c r="F24" s="94" t="s">
        <v>621</v>
      </c>
      <c r="G24" s="94" t="s">
        <v>36</v>
      </c>
      <c r="H24" s="94" t="s">
        <v>37</v>
      </c>
      <c r="I24" s="94" t="s">
        <v>38</v>
      </c>
      <c r="J24" s="94" t="s">
        <v>598</v>
      </c>
      <c r="K24" s="94" t="s">
        <v>391</v>
      </c>
      <c r="L24" s="69">
        <v>44487</v>
      </c>
      <c r="M24" s="69">
        <v>44489</v>
      </c>
      <c r="N24" s="70">
        <v>1203.1300000000001</v>
      </c>
      <c r="O24" s="70">
        <v>943.13</v>
      </c>
      <c r="P24" s="70">
        <f t="shared" si="0"/>
        <v>2146.2600000000002</v>
      </c>
      <c r="Q24" s="53">
        <v>3</v>
      </c>
      <c r="R24" s="70">
        <v>120</v>
      </c>
      <c r="S24" s="53">
        <v>0</v>
      </c>
      <c r="T24" s="70">
        <v>0</v>
      </c>
      <c r="U24" s="70">
        <f t="shared" si="5"/>
        <v>360</v>
      </c>
      <c r="V24" s="70">
        <f t="shared" si="6"/>
        <v>2506.2600000000002</v>
      </c>
      <c r="W24" s="70">
        <f t="shared" si="7"/>
        <v>2506.2600000000002</v>
      </c>
      <c r="X24" s="44"/>
    </row>
    <row r="25" spans="1:24" ht="15">
      <c r="A25" s="77" t="s">
        <v>253</v>
      </c>
      <c r="B25" s="77" t="s">
        <v>234</v>
      </c>
      <c r="C25" s="77" t="s">
        <v>622</v>
      </c>
      <c r="D25" s="86">
        <v>314</v>
      </c>
      <c r="E25" s="94" t="s">
        <v>523</v>
      </c>
      <c r="F25" s="94" t="s">
        <v>621</v>
      </c>
      <c r="G25" s="94" t="s">
        <v>36</v>
      </c>
      <c r="H25" s="94" t="s">
        <v>37</v>
      </c>
      <c r="I25" s="94" t="s">
        <v>38</v>
      </c>
      <c r="J25" s="94" t="s">
        <v>598</v>
      </c>
      <c r="K25" s="94" t="s">
        <v>391</v>
      </c>
      <c r="L25" s="69">
        <v>44487</v>
      </c>
      <c r="M25" s="69">
        <v>44489</v>
      </c>
      <c r="N25" s="70">
        <f>1069.6/2</f>
        <v>534.79999999999995</v>
      </c>
      <c r="O25" s="70">
        <f>1069.6/2</f>
        <v>534.79999999999995</v>
      </c>
      <c r="P25" s="70">
        <f t="shared" si="0"/>
        <v>1069.5999999999999</v>
      </c>
      <c r="Q25" s="53">
        <v>3</v>
      </c>
      <c r="R25" s="70">
        <v>120</v>
      </c>
      <c r="S25" s="53">
        <v>0</v>
      </c>
      <c r="T25" s="70">
        <v>0</v>
      </c>
      <c r="U25" s="70">
        <f t="shared" si="5"/>
        <v>360</v>
      </c>
      <c r="V25" s="70">
        <f t="shared" si="6"/>
        <v>1429.6</v>
      </c>
      <c r="W25" s="70">
        <f t="shared" si="7"/>
        <v>1429.6</v>
      </c>
      <c r="X25" s="44"/>
    </row>
    <row r="26" spans="1:24" ht="15">
      <c r="A26" s="77" t="s">
        <v>253</v>
      </c>
      <c r="B26" s="77" t="s">
        <v>288</v>
      </c>
      <c r="C26" s="77" t="s">
        <v>623</v>
      </c>
      <c r="D26" s="86">
        <v>301</v>
      </c>
      <c r="E26" s="94" t="s">
        <v>624</v>
      </c>
      <c r="F26" s="94" t="s">
        <v>608</v>
      </c>
      <c r="G26" s="94" t="s">
        <v>36</v>
      </c>
      <c r="H26" s="94" t="s">
        <v>37</v>
      </c>
      <c r="I26" s="94" t="s">
        <v>38</v>
      </c>
      <c r="J26" s="94" t="s">
        <v>598</v>
      </c>
      <c r="K26" s="94" t="s">
        <v>391</v>
      </c>
      <c r="L26" s="69">
        <v>44489</v>
      </c>
      <c r="M26" s="69">
        <v>44490</v>
      </c>
      <c r="N26" s="70">
        <f>1626.9/2</f>
        <v>813.45</v>
      </c>
      <c r="O26" s="70">
        <f>1626.9/2</f>
        <v>813.45</v>
      </c>
      <c r="P26" s="70">
        <f t="shared" si="0"/>
        <v>1626.9</v>
      </c>
      <c r="Q26" s="53">
        <v>2</v>
      </c>
      <c r="R26" s="70">
        <v>120</v>
      </c>
      <c r="S26" s="53">
        <v>0</v>
      </c>
      <c r="T26" s="70">
        <v>0</v>
      </c>
      <c r="U26" s="70">
        <f t="shared" si="5"/>
        <v>240</v>
      </c>
      <c r="V26" s="70">
        <f t="shared" si="6"/>
        <v>1866.9</v>
      </c>
      <c r="W26" s="70">
        <f t="shared" si="7"/>
        <v>1866.9</v>
      </c>
      <c r="X26" s="44"/>
    </row>
    <row r="27" spans="1:24" ht="15">
      <c r="A27" s="77" t="s">
        <v>253</v>
      </c>
      <c r="B27" s="77" t="s">
        <v>253</v>
      </c>
      <c r="C27" s="77" t="s">
        <v>320</v>
      </c>
      <c r="D27" s="80">
        <v>346</v>
      </c>
      <c r="E27" s="94" t="s">
        <v>78</v>
      </c>
      <c r="F27" s="94" t="s">
        <v>621</v>
      </c>
      <c r="G27" s="94" t="s">
        <v>36</v>
      </c>
      <c r="H27" s="94" t="s">
        <v>37</v>
      </c>
      <c r="I27" s="94" t="s">
        <v>38</v>
      </c>
      <c r="J27" s="94" t="s">
        <v>62</v>
      </c>
      <c r="K27" s="94" t="s">
        <v>63</v>
      </c>
      <c r="L27" s="69">
        <v>44496</v>
      </c>
      <c r="M27" s="69">
        <v>44496</v>
      </c>
      <c r="N27" s="70">
        <f>3241.6/2</f>
        <v>1620.8</v>
      </c>
      <c r="O27" s="70">
        <f>3241.6/2</f>
        <v>1620.8</v>
      </c>
      <c r="P27" s="70">
        <f t="shared" si="0"/>
        <v>3241.6</v>
      </c>
      <c r="Q27" s="53">
        <v>1</v>
      </c>
      <c r="R27" s="70">
        <v>120</v>
      </c>
      <c r="S27" s="53">
        <v>0</v>
      </c>
      <c r="T27" s="70">
        <v>0</v>
      </c>
      <c r="U27" s="70">
        <f t="shared" si="5"/>
        <v>120</v>
      </c>
      <c r="V27" s="70">
        <f t="shared" si="6"/>
        <v>3361.6</v>
      </c>
      <c r="W27" s="70">
        <f t="shared" si="7"/>
        <v>3361.6</v>
      </c>
      <c r="X27" s="44"/>
    </row>
    <row r="28" spans="1:24" ht="15">
      <c r="A28" s="77" t="s">
        <v>253</v>
      </c>
      <c r="B28" s="77" t="s">
        <v>322</v>
      </c>
      <c r="C28" s="77" t="s">
        <v>456</v>
      </c>
      <c r="D28" s="47">
        <v>300</v>
      </c>
      <c r="E28" s="94" t="s">
        <v>625</v>
      </c>
      <c r="F28" s="94" t="s">
        <v>626</v>
      </c>
      <c r="G28" s="94" t="s">
        <v>36</v>
      </c>
      <c r="H28" s="94" t="s">
        <v>37</v>
      </c>
      <c r="I28" s="94" t="s">
        <v>38</v>
      </c>
      <c r="J28" s="94" t="s">
        <v>598</v>
      </c>
      <c r="K28" s="94" t="s">
        <v>391</v>
      </c>
      <c r="L28" s="69">
        <v>44467</v>
      </c>
      <c r="M28" s="69">
        <v>44470</v>
      </c>
      <c r="N28" s="70">
        <f>2187.53/2</f>
        <v>1093.7650000000001</v>
      </c>
      <c r="O28" s="70">
        <f>2187.53/2</f>
        <v>1093.7650000000001</v>
      </c>
      <c r="P28" s="70">
        <f t="shared" si="0"/>
        <v>2187.5300000000002</v>
      </c>
      <c r="Q28" s="53">
        <v>1</v>
      </c>
      <c r="R28" s="70">
        <v>120</v>
      </c>
      <c r="S28" s="53">
        <v>0</v>
      </c>
      <c r="T28" s="70">
        <v>0</v>
      </c>
      <c r="U28" s="70">
        <f t="shared" ref="U28" si="8">(Q28*R28)+(S28*T28)</f>
        <v>120</v>
      </c>
      <c r="V28" s="70">
        <f t="shared" ref="V28" si="9">U28+P28</f>
        <v>2307.5300000000002</v>
      </c>
      <c r="W28" s="70">
        <f t="shared" ref="W28" si="10">V28</f>
        <v>2307.5300000000002</v>
      </c>
      <c r="X28" s="44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30"/>
  <sheetViews>
    <sheetView topLeftCell="A7" workbookViewId="0">
      <selection activeCell="D21" sqref="D21:E21"/>
    </sheetView>
  </sheetViews>
  <sheetFormatPr defaultRowHeight="15" customHeight="1"/>
  <cols>
    <col min="1" max="1" width="8.625" customWidth="1"/>
    <col min="2" max="2" width="10.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62" t="s">
        <v>0</v>
      </c>
      <c r="W5" s="162"/>
      <c r="X5" s="8">
        <v>43009</v>
      </c>
    </row>
    <row r="6" spans="1:24">
      <c r="A6" s="96" t="s">
        <v>1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</row>
    <row r="7" spans="1:24">
      <c r="A7" s="96" t="s">
        <v>2</v>
      </c>
      <c r="B7" s="96"/>
      <c r="C7" s="96" t="s">
        <v>3</v>
      </c>
      <c r="D7" s="96"/>
      <c r="E7" s="96"/>
      <c r="F7" s="96" t="s">
        <v>4</v>
      </c>
      <c r="G7" s="96"/>
      <c r="H7" s="96"/>
      <c r="I7" s="96"/>
      <c r="J7" s="96"/>
      <c r="K7" s="96"/>
      <c r="L7" s="96"/>
      <c r="M7" s="96"/>
      <c r="N7" s="96" t="s">
        <v>5</v>
      </c>
      <c r="O7" s="96"/>
      <c r="P7" s="96"/>
      <c r="Q7" s="96" t="s">
        <v>6</v>
      </c>
      <c r="R7" s="96"/>
      <c r="S7" s="96"/>
      <c r="T7" s="96"/>
      <c r="U7" s="96"/>
      <c r="V7" s="96"/>
      <c r="W7" s="96" t="s">
        <v>7</v>
      </c>
      <c r="X7" s="96" t="s">
        <v>8</v>
      </c>
    </row>
    <row r="8" spans="1:24" s="9" customFormat="1">
      <c r="A8" s="97" t="s">
        <v>9</v>
      </c>
      <c r="B8" s="97" t="s">
        <v>10</v>
      </c>
      <c r="C8" s="97" t="s">
        <v>11</v>
      </c>
      <c r="D8" s="97" t="s">
        <v>12</v>
      </c>
      <c r="E8" s="97" t="s">
        <v>13</v>
      </c>
      <c r="F8" s="97" t="s">
        <v>14</v>
      </c>
      <c r="G8" s="97" t="s">
        <v>15</v>
      </c>
      <c r="H8" s="97" t="s">
        <v>16</v>
      </c>
      <c r="I8" s="97"/>
      <c r="J8" s="98" t="s">
        <v>17</v>
      </c>
      <c r="K8" s="98"/>
      <c r="L8" s="97" t="s">
        <v>18</v>
      </c>
      <c r="M8" s="97" t="s">
        <v>19</v>
      </c>
      <c r="N8" s="98" t="s">
        <v>20</v>
      </c>
      <c r="O8" s="98" t="s">
        <v>21</v>
      </c>
      <c r="P8" s="98" t="s">
        <v>22</v>
      </c>
      <c r="Q8" s="98" t="s">
        <v>23</v>
      </c>
      <c r="R8" s="98"/>
      <c r="S8" s="98" t="s">
        <v>24</v>
      </c>
      <c r="T8" s="98"/>
      <c r="U8" s="97" t="s">
        <v>25</v>
      </c>
      <c r="V8" s="98" t="s">
        <v>22</v>
      </c>
      <c r="W8" s="96"/>
      <c r="X8" s="96"/>
    </row>
    <row r="9" spans="1:24" s="9" customFormat="1">
      <c r="A9" s="97"/>
      <c r="B9" s="97"/>
      <c r="C9" s="97"/>
      <c r="D9" s="97"/>
      <c r="E9" s="97"/>
      <c r="F9" s="97"/>
      <c r="G9" s="97"/>
      <c r="H9" s="10" t="s">
        <v>26</v>
      </c>
      <c r="I9" s="10" t="s">
        <v>27</v>
      </c>
      <c r="J9" s="10" t="s">
        <v>26</v>
      </c>
      <c r="K9" s="11" t="s">
        <v>28</v>
      </c>
      <c r="L9" s="97"/>
      <c r="M9" s="97"/>
      <c r="N9" s="98"/>
      <c r="O9" s="98"/>
      <c r="P9" s="98"/>
      <c r="Q9" s="10" t="s">
        <v>29</v>
      </c>
      <c r="R9" s="11" t="s">
        <v>30</v>
      </c>
      <c r="S9" s="10" t="s">
        <v>29</v>
      </c>
      <c r="T9" s="11" t="s">
        <v>30</v>
      </c>
      <c r="U9" s="97"/>
      <c r="V9" s="98"/>
      <c r="W9" s="96"/>
      <c r="X9" s="96"/>
    </row>
    <row r="10" spans="1:24" ht="25.5">
      <c r="A10" s="27" t="s">
        <v>44</v>
      </c>
      <c r="B10" s="27" t="s">
        <v>133</v>
      </c>
      <c r="C10" s="34" t="s">
        <v>140</v>
      </c>
      <c r="D10" s="29" t="s">
        <v>141</v>
      </c>
      <c r="E10" s="34" t="s">
        <v>142</v>
      </c>
      <c r="F10" s="34" t="s">
        <v>177</v>
      </c>
      <c r="G10" s="30" t="s">
        <v>36</v>
      </c>
      <c r="H10" s="27" t="s">
        <v>37</v>
      </c>
      <c r="I10" s="27" t="s">
        <v>38</v>
      </c>
      <c r="J10" s="27" t="s">
        <v>62</v>
      </c>
      <c r="K10" s="31" t="s">
        <v>63</v>
      </c>
      <c r="L10" s="35">
        <v>43047</v>
      </c>
      <c r="M10" s="35">
        <v>43049</v>
      </c>
      <c r="N10" s="31">
        <f>740.95/2</f>
        <v>370.47500000000002</v>
      </c>
      <c r="O10" s="31">
        <f>740.95/2</f>
        <v>370.47500000000002</v>
      </c>
      <c r="P10" s="31">
        <f t="shared" ref="P10:P30" si="0">N10+O10</f>
        <v>740.95</v>
      </c>
      <c r="Q10" s="27">
        <v>7</v>
      </c>
      <c r="R10" s="31">
        <v>120</v>
      </c>
      <c r="S10" s="27"/>
      <c r="T10" s="31"/>
      <c r="U10" s="32">
        <f t="shared" ref="U10" si="1">(Q10*R10)+(S10*T10)</f>
        <v>840</v>
      </c>
      <c r="V10" s="31">
        <f t="shared" ref="V10" si="2">P10+U10</f>
        <v>1580.95</v>
      </c>
      <c r="W10" s="31">
        <f t="shared" ref="W10" si="3">V10</f>
        <v>1580.95</v>
      </c>
      <c r="X10" s="28"/>
    </row>
    <row r="11" spans="1:24" ht="38.25">
      <c r="A11" s="27" t="s">
        <v>44</v>
      </c>
      <c r="B11" s="27" t="s">
        <v>133</v>
      </c>
      <c r="C11" s="27" t="s">
        <v>178</v>
      </c>
      <c r="D11" s="29" t="s">
        <v>179</v>
      </c>
      <c r="E11" s="34" t="s">
        <v>180</v>
      </c>
      <c r="F11" s="34" t="s">
        <v>177</v>
      </c>
      <c r="G11" s="30" t="s">
        <v>36</v>
      </c>
      <c r="H11" s="27" t="s">
        <v>37</v>
      </c>
      <c r="I11" s="27" t="s">
        <v>38</v>
      </c>
      <c r="J11" s="27" t="s">
        <v>62</v>
      </c>
      <c r="K11" s="31" t="s">
        <v>63</v>
      </c>
      <c r="L11" s="35">
        <v>43047</v>
      </c>
      <c r="M11" s="35">
        <v>43049</v>
      </c>
      <c r="N11" s="31">
        <f>722/2</f>
        <v>361</v>
      </c>
      <c r="O11" s="31">
        <f>722/2</f>
        <v>361</v>
      </c>
      <c r="P11" s="31">
        <f t="shared" si="0"/>
        <v>722</v>
      </c>
      <c r="Q11" s="27">
        <v>3</v>
      </c>
      <c r="R11" s="31">
        <v>120</v>
      </c>
      <c r="S11" s="27"/>
      <c r="T11" s="31"/>
      <c r="U11" s="32">
        <f t="shared" ref="U11:U30" si="4">(Q11*R11)+(S11*T11)</f>
        <v>360</v>
      </c>
      <c r="V11" s="31">
        <f t="shared" ref="V11:V30" si="5">P11+U11</f>
        <v>1082</v>
      </c>
      <c r="W11" s="31">
        <f t="shared" ref="W11:W30" si="6">V11</f>
        <v>1082</v>
      </c>
      <c r="X11" s="33"/>
    </row>
    <row r="12" spans="1:24" ht="25.5">
      <c r="A12" s="27" t="s">
        <v>31</v>
      </c>
      <c r="B12" s="27" t="s">
        <v>31</v>
      </c>
      <c r="C12" s="27" t="s">
        <v>49</v>
      </c>
      <c r="D12" s="29" t="s">
        <v>107</v>
      </c>
      <c r="E12" s="20" t="s">
        <v>50</v>
      </c>
      <c r="F12" s="34" t="s">
        <v>181</v>
      </c>
      <c r="G12" s="30" t="s">
        <v>36</v>
      </c>
      <c r="H12" s="27" t="s">
        <v>37</v>
      </c>
      <c r="I12" s="27" t="s">
        <v>38</v>
      </c>
      <c r="J12" s="27" t="s">
        <v>39</v>
      </c>
      <c r="K12" s="31" t="s">
        <v>40</v>
      </c>
      <c r="L12" s="35">
        <v>43046</v>
      </c>
      <c r="M12" s="35">
        <v>43048</v>
      </c>
      <c r="N12" s="31">
        <f>541.24/2</f>
        <v>270.62</v>
      </c>
      <c r="O12" s="31">
        <f>541.24/2</f>
        <v>270.62</v>
      </c>
      <c r="P12" s="31">
        <f t="shared" si="0"/>
        <v>541.24</v>
      </c>
      <c r="Q12" s="27"/>
      <c r="R12" s="31"/>
      <c r="S12" s="27"/>
      <c r="T12" s="31"/>
      <c r="U12" s="32">
        <f t="shared" si="4"/>
        <v>0</v>
      </c>
      <c r="V12" s="31">
        <f t="shared" si="5"/>
        <v>541.24</v>
      </c>
      <c r="W12" s="31">
        <f t="shared" si="6"/>
        <v>541.24</v>
      </c>
      <c r="X12" s="33"/>
    </row>
    <row r="13" spans="1:24" ht="38.25">
      <c r="A13" s="27" t="s">
        <v>44</v>
      </c>
      <c r="B13" s="27" t="s">
        <v>44</v>
      </c>
      <c r="C13" s="27" t="s">
        <v>79</v>
      </c>
      <c r="D13" s="29" t="s">
        <v>107</v>
      </c>
      <c r="E13" s="20" t="s">
        <v>80</v>
      </c>
      <c r="F13" s="34" t="s">
        <v>181</v>
      </c>
      <c r="G13" s="30" t="s">
        <v>36</v>
      </c>
      <c r="H13" s="27" t="s">
        <v>37</v>
      </c>
      <c r="I13" s="27" t="s">
        <v>38</v>
      </c>
      <c r="J13" s="27" t="s">
        <v>39</v>
      </c>
      <c r="K13" s="31" t="s">
        <v>40</v>
      </c>
      <c r="L13" s="35">
        <v>43046</v>
      </c>
      <c r="M13" s="35">
        <v>43047</v>
      </c>
      <c r="N13" s="31">
        <f>587.02/2</f>
        <v>293.51</v>
      </c>
      <c r="O13" s="31">
        <f>587.02/2</f>
        <v>293.51</v>
      </c>
      <c r="P13" s="31">
        <f t="shared" si="0"/>
        <v>587.02</v>
      </c>
      <c r="Q13" s="27"/>
      <c r="R13" s="31"/>
      <c r="S13" s="27"/>
      <c r="T13" s="31"/>
      <c r="U13" s="32">
        <f t="shared" si="4"/>
        <v>0</v>
      </c>
      <c r="V13" s="31">
        <f t="shared" si="5"/>
        <v>587.02</v>
      </c>
      <c r="W13" s="31">
        <f t="shared" si="6"/>
        <v>587.02</v>
      </c>
      <c r="X13" s="33"/>
    </row>
    <row r="14" spans="1:24" ht="25.5">
      <c r="A14" s="27" t="s">
        <v>31</v>
      </c>
      <c r="B14" s="27" t="s">
        <v>32</v>
      </c>
      <c r="C14" s="27" t="s">
        <v>33</v>
      </c>
      <c r="D14" s="29" t="s">
        <v>74</v>
      </c>
      <c r="E14" s="14" t="s">
        <v>34</v>
      </c>
      <c r="F14" s="34" t="s">
        <v>161</v>
      </c>
      <c r="G14" s="30" t="s">
        <v>36</v>
      </c>
      <c r="H14" s="27" t="s">
        <v>37</v>
      </c>
      <c r="I14" s="27" t="s">
        <v>38</v>
      </c>
      <c r="J14" s="27" t="s">
        <v>39</v>
      </c>
      <c r="K14" s="31" t="s">
        <v>40</v>
      </c>
      <c r="L14" s="35">
        <v>43046</v>
      </c>
      <c r="M14" s="35">
        <v>43049</v>
      </c>
      <c r="N14" s="31">
        <f>619.79/2</f>
        <v>309.89499999999998</v>
      </c>
      <c r="O14" s="31">
        <f>619.79/2</f>
        <v>309.89499999999998</v>
      </c>
      <c r="P14" s="31">
        <f t="shared" si="0"/>
        <v>619.79</v>
      </c>
      <c r="Q14" s="27">
        <v>4</v>
      </c>
      <c r="R14" s="31">
        <v>120</v>
      </c>
      <c r="S14" s="27"/>
      <c r="T14" s="31"/>
      <c r="U14" s="32">
        <f t="shared" si="4"/>
        <v>480</v>
      </c>
      <c r="V14" s="31">
        <f t="shared" si="5"/>
        <v>1099.79</v>
      </c>
      <c r="W14" s="31">
        <f t="shared" si="6"/>
        <v>1099.79</v>
      </c>
      <c r="X14" s="33"/>
    </row>
    <row r="15" spans="1:24" ht="25.5">
      <c r="A15" s="27" t="s">
        <v>52</v>
      </c>
      <c r="B15" s="27" t="s">
        <v>52</v>
      </c>
      <c r="C15" s="27" t="s">
        <v>86</v>
      </c>
      <c r="D15" s="29" t="s">
        <v>107</v>
      </c>
      <c r="E15" s="20" t="s">
        <v>87</v>
      </c>
      <c r="F15" s="34" t="s">
        <v>182</v>
      </c>
      <c r="G15" s="30" t="s">
        <v>36</v>
      </c>
      <c r="H15" s="27" t="s">
        <v>37</v>
      </c>
      <c r="I15" s="27" t="s">
        <v>38</v>
      </c>
      <c r="J15" s="27" t="s">
        <v>148</v>
      </c>
      <c r="K15" s="31" t="s">
        <v>183</v>
      </c>
      <c r="L15" s="35">
        <v>43061</v>
      </c>
      <c r="M15" s="35">
        <v>43062</v>
      </c>
      <c r="N15" s="31">
        <f>738.28/2</f>
        <v>369.14</v>
      </c>
      <c r="O15" s="31">
        <f>738.28/2</f>
        <v>369.14</v>
      </c>
      <c r="P15" s="31">
        <f t="shared" si="0"/>
        <v>738.28</v>
      </c>
      <c r="Q15" s="27"/>
      <c r="R15" s="31"/>
      <c r="S15" s="27"/>
      <c r="T15" s="31"/>
      <c r="U15" s="32">
        <f t="shared" si="4"/>
        <v>0</v>
      </c>
      <c r="V15" s="31">
        <f t="shared" si="5"/>
        <v>738.28</v>
      </c>
      <c r="W15" s="31">
        <f t="shared" si="6"/>
        <v>738.28</v>
      </c>
      <c r="X15" s="33"/>
    </row>
    <row r="16" spans="1:24" ht="25.5">
      <c r="A16" s="27" t="s">
        <v>52</v>
      </c>
      <c r="B16" s="27" t="s">
        <v>53</v>
      </c>
      <c r="C16" s="27" t="s">
        <v>54</v>
      </c>
      <c r="D16" s="29" t="s">
        <v>88</v>
      </c>
      <c r="E16" s="20" t="s">
        <v>55</v>
      </c>
      <c r="F16" s="34" t="s">
        <v>182</v>
      </c>
      <c r="G16" s="30" t="s">
        <v>36</v>
      </c>
      <c r="H16" s="27" t="s">
        <v>37</v>
      </c>
      <c r="I16" s="27" t="s">
        <v>38</v>
      </c>
      <c r="J16" s="27" t="s">
        <v>148</v>
      </c>
      <c r="K16" s="31" t="s">
        <v>183</v>
      </c>
      <c r="L16" s="35">
        <v>43061</v>
      </c>
      <c r="M16" s="35">
        <v>43062</v>
      </c>
      <c r="N16" s="31">
        <f>738.28/2</f>
        <v>369.14</v>
      </c>
      <c r="O16" s="31">
        <f>738.28/2</f>
        <v>369.14</v>
      </c>
      <c r="P16" s="31">
        <f t="shared" si="0"/>
        <v>738.28</v>
      </c>
      <c r="Q16" s="27">
        <v>4</v>
      </c>
      <c r="R16" s="31">
        <v>120</v>
      </c>
      <c r="S16" s="27"/>
      <c r="T16" s="31"/>
      <c r="U16" s="32">
        <f t="shared" si="4"/>
        <v>480</v>
      </c>
      <c r="V16" s="31">
        <f t="shared" si="5"/>
        <v>1218.28</v>
      </c>
      <c r="W16" s="31">
        <f t="shared" si="6"/>
        <v>1218.28</v>
      </c>
      <c r="X16" s="33"/>
    </row>
    <row r="17" spans="1:24" ht="25.5">
      <c r="A17" s="27" t="s">
        <v>52</v>
      </c>
      <c r="B17" s="27" t="s">
        <v>129</v>
      </c>
      <c r="C17" s="27" t="s">
        <v>130</v>
      </c>
      <c r="D17" s="29" t="s">
        <v>131</v>
      </c>
      <c r="E17" s="34" t="s">
        <v>132</v>
      </c>
      <c r="F17" s="34" t="s">
        <v>184</v>
      </c>
      <c r="G17" s="30" t="s">
        <v>36</v>
      </c>
      <c r="H17" s="27" t="s">
        <v>37</v>
      </c>
      <c r="I17" s="27" t="s">
        <v>38</v>
      </c>
      <c r="J17" s="27" t="s">
        <v>109</v>
      </c>
      <c r="K17" s="31" t="s">
        <v>110</v>
      </c>
      <c r="L17" s="35">
        <v>43062</v>
      </c>
      <c r="M17" s="35">
        <v>43063</v>
      </c>
      <c r="N17" s="31">
        <f>1110.08/2</f>
        <v>555.04</v>
      </c>
      <c r="O17" s="31">
        <f>1110.08/2</f>
        <v>555.04</v>
      </c>
      <c r="P17" s="31">
        <f t="shared" si="0"/>
        <v>1110.08</v>
      </c>
      <c r="Q17" s="27">
        <v>2</v>
      </c>
      <c r="R17" s="31">
        <v>120</v>
      </c>
      <c r="S17" s="27"/>
      <c r="T17" s="31"/>
      <c r="U17" s="32">
        <f t="shared" si="4"/>
        <v>240</v>
      </c>
      <c r="V17" s="31">
        <f t="shared" si="5"/>
        <v>1350.08</v>
      </c>
      <c r="W17" s="31">
        <f t="shared" si="6"/>
        <v>1350.08</v>
      </c>
      <c r="X17" s="33"/>
    </row>
    <row r="18" spans="1:24" ht="38.25">
      <c r="A18" s="27" t="s">
        <v>31</v>
      </c>
      <c r="B18" s="27" t="s">
        <v>111</v>
      </c>
      <c r="C18" s="27" t="s">
        <v>185</v>
      </c>
      <c r="D18" s="29" t="s">
        <v>186</v>
      </c>
      <c r="E18" s="20" t="s">
        <v>187</v>
      </c>
      <c r="F18" s="34" t="s">
        <v>184</v>
      </c>
      <c r="G18" s="30" t="s">
        <v>36</v>
      </c>
      <c r="H18" s="27" t="s">
        <v>37</v>
      </c>
      <c r="I18" s="27" t="s">
        <v>38</v>
      </c>
      <c r="J18" s="27" t="s">
        <v>109</v>
      </c>
      <c r="K18" s="31" t="s">
        <v>110</v>
      </c>
      <c r="L18" s="35">
        <v>43062</v>
      </c>
      <c r="M18" s="35">
        <v>43063</v>
      </c>
      <c r="N18" s="31">
        <f>2001.08/2</f>
        <v>1000.54</v>
      </c>
      <c r="O18" s="31">
        <f>2001.08/2</f>
        <v>1000.54</v>
      </c>
      <c r="P18" s="31">
        <f t="shared" si="0"/>
        <v>2001.08</v>
      </c>
      <c r="Q18" s="27">
        <v>2</v>
      </c>
      <c r="R18" s="31">
        <v>120</v>
      </c>
      <c r="S18" s="27"/>
      <c r="T18" s="31"/>
      <c r="U18" s="32">
        <f t="shared" si="4"/>
        <v>240</v>
      </c>
      <c r="V18" s="31">
        <f t="shared" si="5"/>
        <v>2241.08</v>
      </c>
      <c r="W18" s="31">
        <f t="shared" si="6"/>
        <v>2241.08</v>
      </c>
      <c r="X18" s="33"/>
    </row>
    <row r="19" spans="1:24" ht="51">
      <c r="A19" s="27" t="s">
        <v>31</v>
      </c>
      <c r="B19" s="27" t="s">
        <v>188</v>
      </c>
      <c r="C19" s="27" t="s">
        <v>189</v>
      </c>
      <c r="D19" s="29" t="s">
        <v>190</v>
      </c>
      <c r="E19" s="14" t="s">
        <v>191</v>
      </c>
      <c r="F19" s="34" t="s">
        <v>184</v>
      </c>
      <c r="G19" s="30" t="s">
        <v>36</v>
      </c>
      <c r="H19" s="27" t="s">
        <v>37</v>
      </c>
      <c r="I19" s="27" t="s">
        <v>38</v>
      </c>
      <c r="J19" s="27" t="s">
        <v>109</v>
      </c>
      <c r="K19" s="31" t="s">
        <v>110</v>
      </c>
      <c r="L19" s="35">
        <v>43062</v>
      </c>
      <c r="M19" s="35">
        <v>43063</v>
      </c>
      <c r="N19" s="31">
        <f>1506.07/2</f>
        <v>753.03499999999997</v>
      </c>
      <c r="O19" s="31">
        <f>1506.07/2</f>
        <v>753.03499999999997</v>
      </c>
      <c r="P19" s="31">
        <f t="shared" si="0"/>
        <v>1506.07</v>
      </c>
      <c r="Q19" s="27">
        <v>2</v>
      </c>
      <c r="R19" s="31">
        <v>120</v>
      </c>
      <c r="S19" s="27"/>
      <c r="T19" s="31"/>
      <c r="U19" s="32">
        <f t="shared" si="4"/>
        <v>240</v>
      </c>
      <c r="V19" s="31">
        <f t="shared" si="5"/>
        <v>1746.07</v>
      </c>
      <c r="W19" s="31">
        <f t="shared" si="6"/>
        <v>1746.07</v>
      </c>
      <c r="X19" s="33"/>
    </row>
    <row r="20" spans="1:24" ht="25.5">
      <c r="A20" s="27" t="s">
        <v>31</v>
      </c>
      <c r="B20" s="27" t="s">
        <v>188</v>
      </c>
      <c r="C20" s="27" t="s">
        <v>192</v>
      </c>
      <c r="D20" s="29" t="s">
        <v>193</v>
      </c>
      <c r="E20" s="20" t="s">
        <v>114</v>
      </c>
      <c r="F20" s="34" t="s">
        <v>184</v>
      </c>
      <c r="G20" s="30" t="s">
        <v>36</v>
      </c>
      <c r="H20" s="27" t="s">
        <v>37</v>
      </c>
      <c r="I20" s="27" t="s">
        <v>38</v>
      </c>
      <c r="J20" s="27" t="s">
        <v>109</v>
      </c>
      <c r="K20" s="31" t="s">
        <v>110</v>
      </c>
      <c r="L20" s="35">
        <v>43062</v>
      </c>
      <c r="M20" s="35">
        <v>43063</v>
      </c>
      <c r="N20" s="31">
        <f>1506.08/2</f>
        <v>753.04</v>
      </c>
      <c r="O20" s="31">
        <f>1506.08/2</f>
        <v>753.04</v>
      </c>
      <c r="P20" s="31">
        <f t="shared" si="0"/>
        <v>1506.08</v>
      </c>
      <c r="Q20" s="27">
        <v>2</v>
      </c>
      <c r="R20" s="31">
        <v>120</v>
      </c>
      <c r="S20" s="27"/>
      <c r="T20" s="31"/>
      <c r="U20" s="32">
        <f t="shared" si="4"/>
        <v>240</v>
      </c>
      <c r="V20" s="31">
        <f t="shared" si="5"/>
        <v>1746.08</v>
      </c>
      <c r="W20" s="31">
        <f t="shared" si="6"/>
        <v>1746.08</v>
      </c>
      <c r="X20" s="33"/>
    </row>
    <row r="21" spans="1:24" ht="38.25">
      <c r="A21" s="27" t="s">
        <v>44</v>
      </c>
      <c r="B21" s="27" t="s">
        <v>194</v>
      </c>
      <c r="C21" s="27" t="s">
        <v>195</v>
      </c>
      <c r="D21" s="29" t="s">
        <v>196</v>
      </c>
      <c r="E21" s="20" t="s">
        <v>197</v>
      </c>
      <c r="F21" s="34" t="s">
        <v>198</v>
      </c>
      <c r="G21" s="30" t="s">
        <v>36</v>
      </c>
      <c r="H21" s="27" t="s">
        <v>37</v>
      </c>
      <c r="I21" s="27" t="s">
        <v>38</v>
      </c>
      <c r="J21" s="27" t="s">
        <v>199</v>
      </c>
      <c r="K21" s="31" t="s">
        <v>200</v>
      </c>
      <c r="L21" s="35">
        <v>43061</v>
      </c>
      <c r="M21" s="35">
        <v>43063</v>
      </c>
      <c r="N21" s="31">
        <f>1461.64/2</f>
        <v>730.82</v>
      </c>
      <c r="O21" s="31">
        <f>1461.64/2</f>
        <v>730.82</v>
      </c>
      <c r="P21" s="31">
        <f t="shared" si="0"/>
        <v>1461.64</v>
      </c>
      <c r="Q21" s="27">
        <v>3</v>
      </c>
      <c r="R21" s="31">
        <v>120</v>
      </c>
      <c r="S21" s="27"/>
      <c r="T21" s="31"/>
      <c r="U21" s="32">
        <f t="shared" si="4"/>
        <v>360</v>
      </c>
      <c r="V21" s="31">
        <f t="shared" si="5"/>
        <v>1821.64</v>
      </c>
      <c r="W21" s="31">
        <f t="shared" si="6"/>
        <v>1821.64</v>
      </c>
      <c r="X21" s="33"/>
    </row>
    <row r="22" spans="1:24" ht="25.5">
      <c r="A22" s="27" t="s">
        <v>44</v>
      </c>
      <c r="B22" s="27" t="s">
        <v>194</v>
      </c>
      <c r="C22" s="27" t="s">
        <v>201</v>
      </c>
      <c r="D22" s="29" t="s">
        <v>202</v>
      </c>
      <c r="E22" s="20" t="s">
        <v>203</v>
      </c>
      <c r="F22" s="34" t="s">
        <v>198</v>
      </c>
      <c r="G22" s="30" t="s">
        <v>36</v>
      </c>
      <c r="H22" s="27" t="s">
        <v>37</v>
      </c>
      <c r="I22" s="27" t="s">
        <v>38</v>
      </c>
      <c r="J22" s="27" t="s">
        <v>199</v>
      </c>
      <c r="K22" s="31" t="s">
        <v>200</v>
      </c>
      <c r="L22" s="35">
        <v>43061</v>
      </c>
      <c r="M22" s="35">
        <v>43063</v>
      </c>
      <c r="N22" s="31">
        <f>1461.54/2</f>
        <v>730.77</v>
      </c>
      <c r="O22" s="31">
        <f>1461.54/2</f>
        <v>730.77</v>
      </c>
      <c r="P22" s="31">
        <f t="shared" si="0"/>
        <v>1461.54</v>
      </c>
      <c r="Q22" s="27">
        <v>6</v>
      </c>
      <c r="R22" s="31">
        <v>120</v>
      </c>
      <c r="S22" s="27"/>
      <c r="T22" s="31"/>
      <c r="U22" s="32">
        <f t="shared" si="4"/>
        <v>720</v>
      </c>
      <c r="V22" s="31">
        <f t="shared" si="5"/>
        <v>2181.54</v>
      </c>
      <c r="W22" s="31">
        <f t="shared" si="6"/>
        <v>2181.54</v>
      </c>
      <c r="X22" s="33"/>
    </row>
    <row r="23" spans="1:24" ht="25.5">
      <c r="A23" s="27" t="s">
        <v>52</v>
      </c>
      <c r="B23" s="27" t="s">
        <v>52</v>
      </c>
      <c r="C23" s="27" t="s">
        <v>86</v>
      </c>
      <c r="D23" s="29" t="s">
        <v>107</v>
      </c>
      <c r="E23" s="20" t="s">
        <v>87</v>
      </c>
      <c r="F23" s="34" t="s">
        <v>204</v>
      </c>
      <c r="G23" s="30" t="s">
        <v>36</v>
      </c>
      <c r="H23" s="27" t="s">
        <v>37</v>
      </c>
      <c r="I23" s="27" t="s">
        <v>38</v>
      </c>
      <c r="J23" s="27" t="s">
        <v>39</v>
      </c>
      <c r="K23" s="31" t="s">
        <v>40</v>
      </c>
      <c r="L23" s="35">
        <v>43065</v>
      </c>
      <c r="M23" s="35">
        <v>43067</v>
      </c>
      <c r="N23" s="31">
        <f>1709.58/2</f>
        <v>854.79</v>
      </c>
      <c r="O23" s="31"/>
      <c r="P23" s="31">
        <f t="shared" si="0"/>
        <v>854.79</v>
      </c>
      <c r="Q23" s="27"/>
      <c r="R23" s="31"/>
      <c r="S23" s="27"/>
      <c r="T23" s="31"/>
      <c r="U23" s="32">
        <f t="shared" si="4"/>
        <v>0</v>
      </c>
      <c r="V23" s="31">
        <f t="shared" si="5"/>
        <v>854.79</v>
      </c>
      <c r="W23" s="31">
        <f t="shared" si="6"/>
        <v>854.79</v>
      </c>
      <c r="X23" s="33"/>
    </row>
    <row r="24" spans="1:24" ht="25.5">
      <c r="A24" s="27" t="s">
        <v>52</v>
      </c>
      <c r="B24" s="27" t="s">
        <v>52</v>
      </c>
      <c r="C24" s="27" t="s">
        <v>86</v>
      </c>
      <c r="D24" s="29" t="s">
        <v>107</v>
      </c>
      <c r="E24" s="20" t="s">
        <v>87</v>
      </c>
      <c r="F24" s="34" t="s">
        <v>205</v>
      </c>
      <c r="G24" s="30" t="s">
        <v>36</v>
      </c>
      <c r="H24" s="27" t="s">
        <v>39</v>
      </c>
      <c r="I24" s="31" t="s">
        <v>40</v>
      </c>
      <c r="J24" s="27" t="s">
        <v>62</v>
      </c>
      <c r="K24" s="31" t="s">
        <v>63</v>
      </c>
      <c r="L24" s="35">
        <v>43067</v>
      </c>
      <c r="M24" s="35">
        <v>43068</v>
      </c>
      <c r="N24" s="31">
        <f>1709.58/2</f>
        <v>854.79</v>
      </c>
      <c r="O24" s="31"/>
      <c r="P24" s="31">
        <f t="shared" si="0"/>
        <v>854.79</v>
      </c>
      <c r="Q24" s="27"/>
      <c r="R24" s="31"/>
      <c r="S24" s="27"/>
      <c r="T24" s="31"/>
      <c r="U24" s="32">
        <f t="shared" si="4"/>
        <v>0</v>
      </c>
      <c r="V24" s="31">
        <f t="shared" si="5"/>
        <v>854.79</v>
      </c>
      <c r="W24" s="31">
        <f t="shared" si="6"/>
        <v>854.79</v>
      </c>
      <c r="X24" s="33"/>
    </row>
    <row r="25" spans="1:24" ht="25.5">
      <c r="A25" s="27" t="s">
        <v>52</v>
      </c>
      <c r="B25" s="27" t="s">
        <v>52</v>
      </c>
      <c r="C25" s="27" t="s">
        <v>86</v>
      </c>
      <c r="D25" s="29" t="s">
        <v>107</v>
      </c>
      <c r="E25" s="20" t="s">
        <v>87</v>
      </c>
      <c r="F25" s="34" t="s">
        <v>205</v>
      </c>
      <c r="G25" s="30" t="s">
        <v>36</v>
      </c>
      <c r="H25" s="27" t="s">
        <v>62</v>
      </c>
      <c r="I25" s="31" t="s">
        <v>63</v>
      </c>
      <c r="J25" s="27" t="s">
        <v>37</v>
      </c>
      <c r="K25" s="27" t="s">
        <v>38</v>
      </c>
      <c r="L25" s="35">
        <v>43068</v>
      </c>
      <c r="M25" s="35">
        <v>43068</v>
      </c>
      <c r="N25" s="31"/>
      <c r="O25" s="31">
        <v>439.8</v>
      </c>
      <c r="P25" s="31">
        <f t="shared" si="0"/>
        <v>439.8</v>
      </c>
      <c r="Q25" s="27"/>
      <c r="R25" s="31"/>
      <c r="S25" s="27"/>
      <c r="T25" s="31"/>
      <c r="U25" s="32">
        <f t="shared" si="4"/>
        <v>0</v>
      </c>
      <c r="V25" s="31">
        <f t="shared" si="5"/>
        <v>439.8</v>
      </c>
      <c r="W25" s="31">
        <f t="shared" si="6"/>
        <v>439.8</v>
      </c>
      <c r="X25" s="33"/>
    </row>
    <row r="26" spans="1:24" ht="25.5">
      <c r="A26" s="27" t="s">
        <v>52</v>
      </c>
      <c r="B26" s="27" t="s">
        <v>53</v>
      </c>
      <c r="C26" s="27" t="s">
        <v>54</v>
      </c>
      <c r="D26" s="29" t="s">
        <v>88</v>
      </c>
      <c r="E26" s="20" t="s">
        <v>55</v>
      </c>
      <c r="F26" s="34" t="s">
        <v>204</v>
      </c>
      <c r="G26" s="30" t="s">
        <v>36</v>
      </c>
      <c r="H26" s="27" t="s">
        <v>37</v>
      </c>
      <c r="I26" s="27" t="s">
        <v>38</v>
      </c>
      <c r="J26" s="27" t="s">
        <v>39</v>
      </c>
      <c r="K26" s="31" t="s">
        <v>40</v>
      </c>
      <c r="L26" s="35">
        <v>43065</v>
      </c>
      <c r="M26" s="35">
        <v>43067</v>
      </c>
      <c r="N26" s="31">
        <f>1709.58/2</f>
        <v>854.79</v>
      </c>
      <c r="O26" s="31"/>
      <c r="P26" s="31">
        <f t="shared" si="0"/>
        <v>854.79</v>
      </c>
      <c r="Q26" s="27"/>
      <c r="R26" s="31"/>
      <c r="S26" s="27"/>
      <c r="T26" s="31"/>
      <c r="U26" s="32">
        <f t="shared" si="4"/>
        <v>0</v>
      </c>
      <c r="V26" s="31">
        <f t="shared" si="5"/>
        <v>854.79</v>
      </c>
      <c r="W26" s="31">
        <f t="shared" si="6"/>
        <v>854.79</v>
      </c>
      <c r="X26" s="33"/>
    </row>
    <row r="27" spans="1:24" ht="25.5">
      <c r="A27" s="27" t="s">
        <v>52</v>
      </c>
      <c r="B27" s="27" t="s">
        <v>53</v>
      </c>
      <c r="C27" s="27" t="s">
        <v>54</v>
      </c>
      <c r="D27" s="29" t="s">
        <v>88</v>
      </c>
      <c r="E27" s="20" t="s">
        <v>55</v>
      </c>
      <c r="F27" s="34" t="s">
        <v>205</v>
      </c>
      <c r="G27" s="30" t="s">
        <v>36</v>
      </c>
      <c r="H27" s="27" t="s">
        <v>39</v>
      </c>
      <c r="I27" s="31" t="s">
        <v>40</v>
      </c>
      <c r="J27" s="27" t="s">
        <v>62</v>
      </c>
      <c r="K27" s="31" t="s">
        <v>63</v>
      </c>
      <c r="L27" s="35">
        <v>43067</v>
      </c>
      <c r="M27" s="35">
        <v>43068</v>
      </c>
      <c r="N27" s="31">
        <f>1709.58/2</f>
        <v>854.79</v>
      </c>
      <c r="O27" s="31"/>
      <c r="P27" s="31">
        <f t="shared" si="0"/>
        <v>854.79</v>
      </c>
      <c r="Q27" s="27"/>
      <c r="R27" s="31"/>
      <c r="S27" s="27"/>
      <c r="T27" s="31"/>
      <c r="U27" s="32">
        <f t="shared" si="4"/>
        <v>0</v>
      </c>
      <c r="V27" s="31">
        <f t="shared" si="5"/>
        <v>854.79</v>
      </c>
      <c r="W27" s="31">
        <f t="shared" si="6"/>
        <v>854.79</v>
      </c>
      <c r="X27" s="33"/>
    </row>
    <row r="28" spans="1:24" ht="25.5">
      <c r="A28" s="27" t="s">
        <v>52</v>
      </c>
      <c r="B28" s="27" t="s">
        <v>53</v>
      </c>
      <c r="C28" s="27" t="s">
        <v>54</v>
      </c>
      <c r="D28" s="29" t="s">
        <v>88</v>
      </c>
      <c r="E28" s="20" t="s">
        <v>55</v>
      </c>
      <c r="F28" s="34" t="s">
        <v>205</v>
      </c>
      <c r="G28" s="30" t="s">
        <v>36</v>
      </c>
      <c r="H28" s="27" t="s">
        <v>62</v>
      </c>
      <c r="I28" s="31" t="s">
        <v>63</v>
      </c>
      <c r="J28" s="27" t="s">
        <v>37</v>
      </c>
      <c r="K28" s="27" t="s">
        <v>38</v>
      </c>
      <c r="L28" s="35">
        <v>43068</v>
      </c>
      <c r="M28" s="35">
        <v>43068</v>
      </c>
      <c r="N28" s="31">
        <v>439.8</v>
      </c>
      <c r="O28" s="31">
        <v>0</v>
      </c>
      <c r="P28" s="31">
        <f t="shared" si="0"/>
        <v>439.8</v>
      </c>
      <c r="Q28" s="27"/>
      <c r="R28" s="31"/>
      <c r="S28" s="27"/>
      <c r="T28" s="31"/>
      <c r="U28" s="32">
        <f t="shared" si="4"/>
        <v>0</v>
      </c>
      <c r="V28" s="31">
        <f t="shared" si="5"/>
        <v>439.8</v>
      </c>
      <c r="W28" s="31">
        <f t="shared" si="6"/>
        <v>439.8</v>
      </c>
      <c r="X28" s="33"/>
    </row>
    <row r="29" spans="1:24" ht="25.5">
      <c r="A29" s="27" t="s">
        <v>31</v>
      </c>
      <c r="B29" s="27" t="s">
        <v>31</v>
      </c>
      <c r="C29" s="27" t="s">
        <v>49</v>
      </c>
      <c r="D29" s="29" t="s">
        <v>107</v>
      </c>
      <c r="E29" s="20" t="s">
        <v>50</v>
      </c>
      <c r="F29" s="34" t="s">
        <v>204</v>
      </c>
      <c r="G29" s="30" t="s">
        <v>36</v>
      </c>
      <c r="H29" s="27" t="s">
        <v>37</v>
      </c>
      <c r="I29" s="27" t="s">
        <v>38</v>
      </c>
      <c r="J29" s="27" t="s">
        <v>39</v>
      </c>
      <c r="K29" s="31" t="s">
        <v>40</v>
      </c>
      <c r="L29" s="35">
        <v>43065</v>
      </c>
      <c r="M29" s="35">
        <v>43069</v>
      </c>
      <c r="N29" s="31">
        <f>890.69/2</f>
        <v>445.34500000000003</v>
      </c>
      <c r="O29" s="31">
        <f>890.69/2</f>
        <v>445.34500000000003</v>
      </c>
      <c r="P29" s="31">
        <f t="shared" si="0"/>
        <v>890.69</v>
      </c>
      <c r="Q29" s="27"/>
      <c r="R29" s="31"/>
      <c r="S29" s="27"/>
      <c r="T29" s="31"/>
      <c r="U29" s="32">
        <f t="shared" si="4"/>
        <v>0</v>
      </c>
      <c r="V29" s="31">
        <f t="shared" si="5"/>
        <v>890.69</v>
      </c>
      <c r="W29" s="31">
        <f t="shared" si="6"/>
        <v>890.69</v>
      </c>
      <c r="X29" s="33"/>
    </row>
    <row r="30" spans="1:24" ht="25.5">
      <c r="A30" s="27" t="s">
        <v>44</v>
      </c>
      <c r="B30" s="27" t="s">
        <v>45</v>
      </c>
      <c r="C30" s="27" t="s">
        <v>206</v>
      </c>
      <c r="D30" s="29" t="s">
        <v>207</v>
      </c>
      <c r="E30" s="20" t="s">
        <v>208</v>
      </c>
      <c r="F30" s="34" t="s">
        <v>209</v>
      </c>
      <c r="G30" s="30" t="s">
        <v>36</v>
      </c>
      <c r="H30" s="27" t="s">
        <v>37</v>
      </c>
      <c r="I30" s="27" t="s">
        <v>38</v>
      </c>
      <c r="J30" s="27" t="s">
        <v>210</v>
      </c>
      <c r="K30" s="31" t="s">
        <v>211</v>
      </c>
      <c r="L30" s="35">
        <v>43068</v>
      </c>
      <c r="M30" s="35">
        <v>43070</v>
      </c>
      <c r="N30" s="31">
        <f>971.48/2</f>
        <v>485.74</v>
      </c>
      <c r="O30" s="31">
        <f>971.48/2</f>
        <v>485.74</v>
      </c>
      <c r="P30" s="31">
        <f t="shared" si="0"/>
        <v>971.48</v>
      </c>
      <c r="Q30" s="27">
        <v>4</v>
      </c>
      <c r="R30" s="31">
        <v>120</v>
      </c>
      <c r="S30" s="27"/>
      <c r="T30" s="31"/>
      <c r="U30" s="32">
        <f t="shared" si="4"/>
        <v>480</v>
      </c>
      <c r="V30" s="31">
        <f t="shared" si="5"/>
        <v>1451.48</v>
      </c>
      <c r="W30" s="31">
        <f t="shared" si="6"/>
        <v>1451.48</v>
      </c>
      <c r="X30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X11"/>
  <sheetViews>
    <sheetView workbookViewId="0">
      <selection activeCell="D11" sqref="D11:E11"/>
    </sheetView>
  </sheetViews>
  <sheetFormatPr defaultRowHeight="14.25"/>
  <cols>
    <col min="1" max="1" width="43.5" bestFit="1" customWidth="1"/>
    <col min="2" max="2" width="50.875" bestFit="1" customWidth="1"/>
    <col min="3" max="3" width="51.375" bestFit="1" customWidth="1"/>
    <col min="4" max="4" width="9" customWidth="1"/>
    <col min="5" max="5" width="47.375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6" t="s">
        <v>1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</row>
    <row r="2" spans="1:24" ht="15">
      <c r="A2" s="96" t="s">
        <v>2</v>
      </c>
      <c r="B2" s="96"/>
      <c r="C2" s="96" t="s">
        <v>3</v>
      </c>
      <c r="D2" s="96"/>
      <c r="E2" s="96"/>
      <c r="F2" s="96" t="s">
        <v>4</v>
      </c>
      <c r="G2" s="96"/>
      <c r="H2" s="96"/>
      <c r="I2" s="96"/>
      <c r="J2" s="96"/>
      <c r="K2" s="96"/>
      <c r="L2" s="96"/>
      <c r="M2" s="96"/>
      <c r="N2" s="96" t="s">
        <v>5</v>
      </c>
      <c r="O2" s="96"/>
      <c r="P2" s="96"/>
      <c r="Q2" s="96" t="s">
        <v>6</v>
      </c>
      <c r="R2" s="96"/>
      <c r="S2" s="96"/>
      <c r="T2" s="96"/>
      <c r="U2" s="96"/>
      <c r="V2" s="96"/>
      <c r="W2" s="96" t="s">
        <v>7</v>
      </c>
      <c r="X2" s="149" t="s">
        <v>8</v>
      </c>
    </row>
    <row r="3" spans="1:24" ht="15">
      <c r="A3" s="97" t="s">
        <v>9</v>
      </c>
      <c r="B3" s="97" t="s">
        <v>10</v>
      </c>
      <c r="C3" s="97" t="s">
        <v>11</v>
      </c>
      <c r="D3" s="97" t="s">
        <v>12</v>
      </c>
      <c r="E3" s="97" t="s">
        <v>13</v>
      </c>
      <c r="F3" s="97" t="s">
        <v>14</v>
      </c>
      <c r="G3" s="97" t="s">
        <v>15</v>
      </c>
      <c r="H3" s="97" t="s">
        <v>16</v>
      </c>
      <c r="I3" s="97"/>
      <c r="J3" s="98" t="s">
        <v>17</v>
      </c>
      <c r="K3" s="98"/>
      <c r="L3" s="97" t="s">
        <v>18</v>
      </c>
      <c r="M3" s="97" t="s">
        <v>19</v>
      </c>
      <c r="N3" s="98" t="s">
        <v>20</v>
      </c>
      <c r="O3" s="98" t="s">
        <v>21</v>
      </c>
      <c r="P3" s="98" t="s">
        <v>22</v>
      </c>
      <c r="Q3" s="98" t="s">
        <v>23</v>
      </c>
      <c r="R3" s="98"/>
      <c r="S3" s="98" t="s">
        <v>24</v>
      </c>
      <c r="T3" s="98"/>
      <c r="U3" s="97" t="s">
        <v>25</v>
      </c>
      <c r="V3" s="98" t="s">
        <v>22</v>
      </c>
      <c r="W3" s="96"/>
      <c r="X3" s="149"/>
    </row>
    <row r="4" spans="1:24" ht="15">
      <c r="A4" s="151"/>
      <c r="B4" s="151"/>
      <c r="C4" s="151"/>
      <c r="D4" s="151"/>
      <c r="E4" s="151"/>
      <c r="F4" s="151"/>
      <c r="G4" s="151"/>
      <c r="H4" s="10" t="s">
        <v>26</v>
      </c>
      <c r="I4" s="10" t="s">
        <v>27</v>
      </c>
      <c r="J4" s="10" t="s">
        <v>26</v>
      </c>
      <c r="K4" s="11" t="s">
        <v>28</v>
      </c>
      <c r="L4" s="151"/>
      <c r="M4" s="151"/>
      <c r="N4" s="152"/>
      <c r="O4" s="152"/>
      <c r="P4" s="152"/>
      <c r="Q4" s="10" t="s">
        <v>29</v>
      </c>
      <c r="R4" s="11" t="s">
        <v>30</v>
      </c>
      <c r="S4" s="10" t="s">
        <v>29</v>
      </c>
      <c r="T4" s="11" t="s">
        <v>30</v>
      </c>
      <c r="U4" s="151"/>
      <c r="V4" s="152"/>
      <c r="W4" s="153"/>
      <c r="X4" s="150"/>
    </row>
    <row r="5" spans="1:24" ht="15">
      <c r="A5" s="77" t="s">
        <v>253</v>
      </c>
      <c r="B5" s="77" t="s">
        <v>259</v>
      </c>
      <c r="C5" s="77" t="s">
        <v>185</v>
      </c>
      <c r="D5" s="80" t="s">
        <v>186</v>
      </c>
      <c r="E5" s="94" t="s">
        <v>385</v>
      </c>
      <c r="F5" s="77" t="s">
        <v>627</v>
      </c>
      <c r="G5" s="94" t="s">
        <v>36</v>
      </c>
      <c r="H5" s="94" t="s">
        <v>37</v>
      </c>
      <c r="I5" s="94" t="s">
        <v>38</v>
      </c>
      <c r="J5" s="94" t="s">
        <v>116</v>
      </c>
      <c r="K5" s="94" t="s">
        <v>628</v>
      </c>
      <c r="L5" s="69">
        <v>44508</v>
      </c>
      <c r="M5" s="69">
        <v>44509</v>
      </c>
      <c r="N5" s="70">
        <f>1920.55/2</f>
        <v>960.27499999999998</v>
      </c>
      <c r="O5" s="70">
        <f>1920.55/2</f>
        <v>960.27499999999998</v>
      </c>
      <c r="P5" s="70">
        <f>SUM(N5:O5)</f>
        <v>1920.55</v>
      </c>
      <c r="Q5" s="53">
        <v>2</v>
      </c>
      <c r="R5" s="70">
        <v>120</v>
      </c>
      <c r="S5" s="53">
        <v>0</v>
      </c>
      <c r="T5" s="70">
        <v>0</v>
      </c>
      <c r="U5" s="70">
        <f t="shared" ref="U5:U11" si="0">(Q5*R5)+(S5*T5)</f>
        <v>240</v>
      </c>
      <c r="V5" s="70">
        <f t="shared" ref="V5:V11" si="1">U5+P5</f>
        <v>2160.5500000000002</v>
      </c>
      <c r="W5" s="70">
        <f t="shared" ref="W5:W11" si="2">V5</f>
        <v>2160.5500000000002</v>
      </c>
      <c r="X5" s="53"/>
    </row>
    <row r="6" spans="1:24" ht="15">
      <c r="A6" s="77" t="s">
        <v>253</v>
      </c>
      <c r="B6" s="77" t="s">
        <v>253</v>
      </c>
      <c r="C6" s="77" t="s">
        <v>320</v>
      </c>
      <c r="D6" s="80" t="s">
        <v>629</v>
      </c>
      <c r="E6" s="94" t="s">
        <v>78</v>
      </c>
      <c r="F6" s="77" t="s">
        <v>630</v>
      </c>
      <c r="G6" s="94" t="s">
        <v>36</v>
      </c>
      <c r="H6" s="94" t="s">
        <v>37</v>
      </c>
      <c r="I6" s="94" t="s">
        <v>38</v>
      </c>
      <c r="J6" s="94" t="s">
        <v>116</v>
      </c>
      <c r="K6" s="94" t="s">
        <v>628</v>
      </c>
      <c r="L6" s="69">
        <v>44508</v>
      </c>
      <c r="M6" s="69">
        <v>44509</v>
      </c>
      <c r="N6" s="70">
        <f>1920.55/2</f>
        <v>960.27499999999998</v>
      </c>
      <c r="O6" s="70">
        <f>1920.55/2</f>
        <v>960.27499999999998</v>
      </c>
      <c r="P6" s="70">
        <f t="shared" ref="P6:P11" si="3">SUM(N6:O6)</f>
        <v>1920.55</v>
      </c>
      <c r="Q6" s="53">
        <v>2</v>
      </c>
      <c r="R6" s="70">
        <v>120</v>
      </c>
      <c r="S6" s="53">
        <v>0</v>
      </c>
      <c r="T6" s="70">
        <v>0</v>
      </c>
      <c r="U6" s="70">
        <f t="shared" si="0"/>
        <v>240</v>
      </c>
      <c r="V6" s="70">
        <f t="shared" si="1"/>
        <v>2160.5500000000002</v>
      </c>
      <c r="W6" s="70">
        <f t="shared" si="2"/>
        <v>2160.5500000000002</v>
      </c>
      <c r="X6" s="53"/>
    </row>
    <row r="7" spans="1:24" ht="15">
      <c r="A7" s="77" t="s">
        <v>253</v>
      </c>
      <c r="B7" s="77" t="s">
        <v>212</v>
      </c>
      <c r="C7" s="77" t="s">
        <v>270</v>
      </c>
      <c r="D7" s="77" t="s">
        <v>168</v>
      </c>
      <c r="E7" s="94" t="s">
        <v>599</v>
      </c>
      <c r="F7" s="77" t="s">
        <v>631</v>
      </c>
      <c r="G7" s="94" t="s">
        <v>36</v>
      </c>
      <c r="H7" s="94" t="s">
        <v>37</v>
      </c>
      <c r="I7" s="94" t="s">
        <v>38</v>
      </c>
      <c r="J7" s="94" t="s">
        <v>37</v>
      </c>
      <c r="K7" s="94" t="s">
        <v>391</v>
      </c>
      <c r="L7" s="69">
        <v>44509</v>
      </c>
      <c r="M7" s="69">
        <v>44511</v>
      </c>
      <c r="N7" s="70">
        <f>1400.68/2</f>
        <v>700.34</v>
      </c>
      <c r="O7" s="70">
        <f>1400.68/2</f>
        <v>700.34</v>
      </c>
      <c r="P7" s="70">
        <f t="shared" si="3"/>
        <v>1400.68</v>
      </c>
      <c r="Q7" s="53">
        <v>3</v>
      </c>
      <c r="R7" s="70">
        <v>120</v>
      </c>
      <c r="S7" s="53">
        <v>0</v>
      </c>
      <c r="T7" s="70">
        <v>0</v>
      </c>
      <c r="U7" s="70">
        <f t="shared" si="0"/>
        <v>360</v>
      </c>
      <c r="V7" s="70">
        <f t="shared" si="1"/>
        <v>1760.68</v>
      </c>
      <c r="W7" s="70">
        <f t="shared" si="2"/>
        <v>1760.68</v>
      </c>
      <c r="X7" s="44"/>
    </row>
    <row r="8" spans="1:24" ht="15">
      <c r="A8" s="77" t="s">
        <v>253</v>
      </c>
      <c r="B8" s="77" t="s">
        <v>212</v>
      </c>
      <c r="C8" s="77" t="s">
        <v>387</v>
      </c>
      <c r="D8" s="86">
        <v>347</v>
      </c>
      <c r="E8" s="94" t="s">
        <v>34</v>
      </c>
      <c r="F8" s="77" t="s">
        <v>632</v>
      </c>
      <c r="G8" s="94" t="s">
        <v>36</v>
      </c>
      <c r="H8" s="94" t="s">
        <v>37</v>
      </c>
      <c r="I8" s="94" t="s">
        <v>38</v>
      </c>
      <c r="J8" s="94" t="s">
        <v>37</v>
      </c>
      <c r="K8" s="94" t="s">
        <v>391</v>
      </c>
      <c r="L8" s="69">
        <v>44518</v>
      </c>
      <c r="M8" s="69">
        <v>44519</v>
      </c>
      <c r="N8" s="70">
        <v>1400.68</v>
      </c>
      <c r="O8" s="70">
        <v>943.13</v>
      </c>
      <c r="P8" s="70">
        <f t="shared" si="3"/>
        <v>2343.81</v>
      </c>
      <c r="Q8" s="53">
        <v>2</v>
      </c>
      <c r="R8" s="70">
        <v>120</v>
      </c>
      <c r="S8" s="53">
        <v>0</v>
      </c>
      <c r="T8" s="70">
        <v>0</v>
      </c>
      <c r="U8" s="70">
        <f t="shared" si="0"/>
        <v>240</v>
      </c>
      <c r="V8" s="70">
        <f t="shared" si="1"/>
        <v>2583.81</v>
      </c>
      <c r="W8" s="70">
        <f t="shared" si="2"/>
        <v>2583.81</v>
      </c>
      <c r="X8" s="44"/>
    </row>
    <row r="9" spans="1:24" ht="15">
      <c r="A9" s="77" t="s">
        <v>253</v>
      </c>
      <c r="B9" s="77" t="s">
        <v>234</v>
      </c>
      <c r="C9" s="77" t="s">
        <v>576</v>
      </c>
      <c r="D9" s="86">
        <v>285</v>
      </c>
      <c r="E9" s="94" t="s">
        <v>187</v>
      </c>
      <c r="F9" s="77" t="s">
        <v>633</v>
      </c>
      <c r="G9" s="94" t="s">
        <v>36</v>
      </c>
      <c r="H9" s="94" t="s">
        <v>37</v>
      </c>
      <c r="I9" s="94" t="s">
        <v>38</v>
      </c>
      <c r="J9" s="94" t="s">
        <v>37</v>
      </c>
      <c r="K9" s="94" t="s">
        <v>391</v>
      </c>
      <c r="L9" s="69">
        <v>44523</v>
      </c>
      <c r="M9" s="69">
        <v>44524</v>
      </c>
      <c r="N9" s="70">
        <f>2136.77/2</f>
        <v>1068.385</v>
      </c>
      <c r="O9" s="70">
        <f>2136.77/2</f>
        <v>1068.385</v>
      </c>
      <c r="P9" s="70">
        <f t="shared" si="3"/>
        <v>2136.77</v>
      </c>
      <c r="Q9" s="53">
        <v>2</v>
      </c>
      <c r="R9" s="70">
        <v>120</v>
      </c>
      <c r="S9" s="53">
        <v>0</v>
      </c>
      <c r="T9" s="70">
        <v>0</v>
      </c>
      <c r="U9" s="70">
        <f t="shared" si="0"/>
        <v>240</v>
      </c>
      <c r="V9" s="70">
        <f t="shared" si="1"/>
        <v>2376.77</v>
      </c>
      <c r="W9" s="70">
        <f t="shared" si="2"/>
        <v>2376.77</v>
      </c>
      <c r="X9" s="44"/>
    </row>
    <row r="10" spans="1:24" ht="15">
      <c r="A10" s="77" t="s">
        <v>253</v>
      </c>
      <c r="B10" s="77" t="s">
        <v>234</v>
      </c>
      <c r="C10" s="77" t="s">
        <v>622</v>
      </c>
      <c r="D10" s="86">
        <v>314</v>
      </c>
      <c r="E10" s="94" t="s">
        <v>523</v>
      </c>
      <c r="F10" s="77" t="s">
        <v>633</v>
      </c>
      <c r="G10" s="94" t="s">
        <v>36</v>
      </c>
      <c r="H10" s="94" t="s">
        <v>37</v>
      </c>
      <c r="I10" s="94" t="s">
        <v>38</v>
      </c>
      <c r="J10" s="94" t="s">
        <v>37</v>
      </c>
      <c r="K10" s="94" t="s">
        <v>391</v>
      </c>
      <c r="L10" s="69">
        <v>44523</v>
      </c>
      <c r="M10" s="69">
        <v>44524</v>
      </c>
      <c r="N10" s="70">
        <v>1096.08</v>
      </c>
      <c r="O10" s="70">
        <v>1405.09</v>
      </c>
      <c r="P10" s="70">
        <f t="shared" si="3"/>
        <v>2501.17</v>
      </c>
      <c r="Q10" s="53">
        <v>2</v>
      </c>
      <c r="R10" s="70">
        <v>120</v>
      </c>
      <c r="S10" s="53">
        <v>0</v>
      </c>
      <c r="T10" s="70">
        <v>0</v>
      </c>
      <c r="U10" s="70">
        <f t="shared" si="0"/>
        <v>240</v>
      </c>
      <c r="V10" s="70">
        <f t="shared" si="1"/>
        <v>2741.17</v>
      </c>
      <c r="W10" s="70">
        <f t="shared" si="2"/>
        <v>2741.17</v>
      </c>
      <c r="X10" s="44"/>
    </row>
    <row r="11" spans="1:24" ht="15">
      <c r="A11" s="77" t="s">
        <v>253</v>
      </c>
      <c r="B11" s="77" t="s">
        <v>234</v>
      </c>
      <c r="C11" s="77" t="s">
        <v>620</v>
      </c>
      <c r="D11" s="47">
        <v>365</v>
      </c>
      <c r="E11" s="94" t="s">
        <v>239</v>
      </c>
      <c r="F11" s="77" t="s">
        <v>633</v>
      </c>
      <c r="G11" s="94" t="s">
        <v>36</v>
      </c>
      <c r="H11" s="94" t="s">
        <v>37</v>
      </c>
      <c r="I11" s="94" t="s">
        <v>38</v>
      </c>
      <c r="J11" s="94" t="s">
        <v>37</v>
      </c>
      <c r="K11" s="94" t="s">
        <v>391</v>
      </c>
      <c r="L11" s="69">
        <v>44523</v>
      </c>
      <c r="M11" s="69">
        <v>44524</v>
      </c>
      <c r="N11" s="70">
        <v>1096.08</v>
      </c>
      <c r="O11" s="70">
        <v>1405.09</v>
      </c>
      <c r="P11" s="70">
        <f t="shared" si="3"/>
        <v>2501.17</v>
      </c>
      <c r="Q11" s="53">
        <v>2</v>
      </c>
      <c r="R11" s="70">
        <v>120</v>
      </c>
      <c r="S11" s="53">
        <v>0</v>
      </c>
      <c r="T11" s="70">
        <v>0</v>
      </c>
      <c r="U11" s="70">
        <f t="shared" si="0"/>
        <v>240</v>
      </c>
      <c r="V11" s="70">
        <f t="shared" si="1"/>
        <v>2741.17</v>
      </c>
      <c r="W11" s="70">
        <f t="shared" si="2"/>
        <v>2741.17</v>
      </c>
      <c r="X11" s="44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X8"/>
  <sheetViews>
    <sheetView workbookViewId="0">
      <selection activeCell="D7" sqref="D7:E7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6" t="s">
        <v>1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</row>
    <row r="2" spans="1:24" ht="15">
      <c r="A2" s="96" t="s">
        <v>2</v>
      </c>
      <c r="B2" s="96"/>
      <c r="C2" s="96" t="s">
        <v>3</v>
      </c>
      <c r="D2" s="96"/>
      <c r="E2" s="96"/>
      <c r="F2" s="96" t="s">
        <v>4</v>
      </c>
      <c r="G2" s="96"/>
      <c r="H2" s="96"/>
      <c r="I2" s="96"/>
      <c r="J2" s="96"/>
      <c r="K2" s="96"/>
      <c r="L2" s="96"/>
      <c r="M2" s="96"/>
      <c r="N2" s="96" t="s">
        <v>5</v>
      </c>
      <c r="O2" s="96"/>
      <c r="P2" s="96"/>
      <c r="Q2" s="96" t="s">
        <v>6</v>
      </c>
      <c r="R2" s="96"/>
      <c r="S2" s="96"/>
      <c r="T2" s="96"/>
      <c r="U2" s="96"/>
      <c r="V2" s="96"/>
      <c r="W2" s="96" t="s">
        <v>7</v>
      </c>
      <c r="X2" s="149" t="s">
        <v>8</v>
      </c>
    </row>
    <row r="3" spans="1:24" ht="15">
      <c r="A3" s="97" t="s">
        <v>9</v>
      </c>
      <c r="B3" s="97" t="s">
        <v>10</v>
      </c>
      <c r="C3" s="97" t="s">
        <v>11</v>
      </c>
      <c r="D3" s="97" t="s">
        <v>12</v>
      </c>
      <c r="E3" s="97" t="s">
        <v>13</v>
      </c>
      <c r="F3" s="97" t="s">
        <v>14</v>
      </c>
      <c r="G3" s="97" t="s">
        <v>15</v>
      </c>
      <c r="H3" s="97" t="s">
        <v>16</v>
      </c>
      <c r="I3" s="97"/>
      <c r="J3" s="98" t="s">
        <v>17</v>
      </c>
      <c r="K3" s="98"/>
      <c r="L3" s="97" t="s">
        <v>18</v>
      </c>
      <c r="M3" s="97" t="s">
        <v>19</v>
      </c>
      <c r="N3" s="98" t="s">
        <v>20</v>
      </c>
      <c r="O3" s="98" t="s">
        <v>21</v>
      </c>
      <c r="P3" s="98" t="s">
        <v>22</v>
      </c>
      <c r="Q3" s="98" t="s">
        <v>23</v>
      </c>
      <c r="R3" s="98"/>
      <c r="S3" s="98" t="s">
        <v>24</v>
      </c>
      <c r="T3" s="98"/>
      <c r="U3" s="97" t="s">
        <v>25</v>
      </c>
      <c r="V3" s="98" t="s">
        <v>22</v>
      </c>
      <c r="W3" s="96"/>
      <c r="X3" s="149"/>
    </row>
    <row r="4" spans="1:24" ht="15">
      <c r="A4" s="151"/>
      <c r="B4" s="151"/>
      <c r="C4" s="151"/>
      <c r="D4" s="151"/>
      <c r="E4" s="151"/>
      <c r="F4" s="151"/>
      <c r="G4" s="151"/>
      <c r="H4" s="10" t="s">
        <v>26</v>
      </c>
      <c r="I4" s="10" t="s">
        <v>27</v>
      </c>
      <c r="J4" s="10" t="s">
        <v>26</v>
      </c>
      <c r="K4" s="11" t="s">
        <v>28</v>
      </c>
      <c r="L4" s="151"/>
      <c r="M4" s="151"/>
      <c r="N4" s="152"/>
      <c r="O4" s="152"/>
      <c r="P4" s="152"/>
      <c r="Q4" s="10" t="s">
        <v>29</v>
      </c>
      <c r="R4" s="11" t="s">
        <v>30</v>
      </c>
      <c r="S4" s="10" t="s">
        <v>29</v>
      </c>
      <c r="T4" s="11" t="s">
        <v>30</v>
      </c>
      <c r="U4" s="151"/>
      <c r="V4" s="152"/>
      <c r="W4" s="153"/>
      <c r="X4" s="150"/>
    </row>
    <row r="5" spans="1:24" ht="42.75">
      <c r="A5" s="84" t="s">
        <v>253</v>
      </c>
      <c r="B5" s="84" t="s">
        <v>259</v>
      </c>
      <c r="C5" s="84" t="s">
        <v>185</v>
      </c>
      <c r="D5" s="84">
        <v>119</v>
      </c>
      <c r="E5" s="84" t="s">
        <v>385</v>
      </c>
      <c r="F5" s="87" t="s">
        <v>634</v>
      </c>
      <c r="G5" s="84" t="s">
        <v>36</v>
      </c>
      <c r="H5" s="84" t="s">
        <v>37</v>
      </c>
      <c r="I5" s="84" t="s">
        <v>38</v>
      </c>
      <c r="J5" s="84" t="s">
        <v>598</v>
      </c>
      <c r="K5" s="84" t="s">
        <v>391</v>
      </c>
      <c r="L5" s="69">
        <v>44542</v>
      </c>
      <c r="M5" s="69">
        <v>44547</v>
      </c>
      <c r="N5" s="70">
        <f>570.26/2</f>
        <v>285.13</v>
      </c>
      <c r="O5" s="70">
        <f>570.26/2</f>
        <v>285.13</v>
      </c>
      <c r="P5" s="70">
        <f>SUM(N5:O5)</f>
        <v>570.26</v>
      </c>
      <c r="Q5" s="53">
        <v>6</v>
      </c>
      <c r="R5" s="70">
        <v>120</v>
      </c>
      <c r="S5" s="53">
        <v>0</v>
      </c>
      <c r="T5" s="70">
        <v>0</v>
      </c>
      <c r="U5" s="70">
        <f t="shared" ref="U5:U8" si="0">(Q5*R5)+(S5*T5)</f>
        <v>720</v>
      </c>
      <c r="V5" s="70">
        <f t="shared" ref="V5:V8" si="1">U5+P5</f>
        <v>1290.26</v>
      </c>
      <c r="W5" s="70">
        <f t="shared" ref="W5:W8" si="2">V5</f>
        <v>1290.26</v>
      </c>
      <c r="X5" s="53"/>
    </row>
    <row r="6" spans="1:24">
      <c r="A6" s="84" t="s">
        <v>253</v>
      </c>
      <c r="B6" s="84" t="s">
        <v>259</v>
      </c>
      <c r="C6" s="84" t="s">
        <v>613</v>
      </c>
      <c r="D6" s="84">
        <v>372</v>
      </c>
      <c r="E6" s="84" t="s">
        <v>614</v>
      </c>
      <c r="F6" s="84" t="s">
        <v>635</v>
      </c>
      <c r="G6" s="84" t="s">
        <v>36</v>
      </c>
      <c r="H6" s="84" t="s">
        <v>37</v>
      </c>
      <c r="I6" s="84" t="s">
        <v>38</v>
      </c>
      <c r="J6" s="84" t="s">
        <v>598</v>
      </c>
      <c r="K6" s="84" t="s">
        <v>391</v>
      </c>
      <c r="L6" s="69">
        <v>44544</v>
      </c>
      <c r="M6" s="69">
        <v>44547</v>
      </c>
      <c r="N6" s="70">
        <f>892.26/2</f>
        <v>446.13</v>
      </c>
      <c r="O6" s="70">
        <f>892.26/2</f>
        <v>446.13</v>
      </c>
      <c r="P6" s="70">
        <f t="shared" ref="P6:P8" si="3">SUM(N6:O6)</f>
        <v>892.26</v>
      </c>
      <c r="Q6" s="53">
        <v>4</v>
      </c>
      <c r="R6" s="70">
        <v>120</v>
      </c>
      <c r="S6" s="53">
        <v>0</v>
      </c>
      <c r="T6" s="70">
        <v>0</v>
      </c>
      <c r="U6" s="70">
        <f t="shared" si="0"/>
        <v>480</v>
      </c>
      <c r="V6" s="70">
        <f t="shared" si="1"/>
        <v>1372.26</v>
      </c>
      <c r="W6" s="70">
        <f t="shared" si="2"/>
        <v>1372.26</v>
      </c>
      <c r="X6" s="53"/>
    </row>
    <row r="7" spans="1:24">
      <c r="A7" s="84" t="s">
        <v>253</v>
      </c>
      <c r="B7" s="84" t="s">
        <v>288</v>
      </c>
      <c r="C7" s="84" t="s">
        <v>636</v>
      </c>
      <c r="D7" s="84">
        <v>78</v>
      </c>
      <c r="E7" s="84" t="s">
        <v>98</v>
      </c>
      <c r="F7" s="84" t="s">
        <v>637</v>
      </c>
      <c r="G7" s="84" t="s">
        <v>36</v>
      </c>
      <c r="H7" s="84" t="s">
        <v>37</v>
      </c>
      <c r="I7" s="84" t="s">
        <v>38</v>
      </c>
      <c r="J7" s="84" t="s">
        <v>598</v>
      </c>
      <c r="K7" s="84" t="s">
        <v>391</v>
      </c>
      <c r="L7" s="69">
        <v>44518</v>
      </c>
      <c r="M7" s="69">
        <v>44537</v>
      </c>
      <c r="N7" s="70">
        <f>1096.08/2</f>
        <v>548.04</v>
      </c>
      <c r="O7" s="70">
        <f>1096.08/2</f>
        <v>548.04</v>
      </c>
      <c r="P7" s="70">
        <f t="shared" si="3"/>
        <v>1096.08</v>
      </c>
      <c r="Q7" s="53">
        <v>20</v>
      </c>
      <c r="R7" s="70">
        <v>120</v>
      </c>
      <c r="S7" s="53">
        <v>0</v>
      </c>
      <c r="T7" s="70">
        <v>0</v>
      </c>
      <c r="U7" s="70">
        <f t="shared" si="0"/>
        <v>2400</v>
      </c>
      <c r="V7" s="70">
        <f t="shared" si="1"/>
        <v>3496.08</v>
      </c>
      <c r="W7" s="70">
        <f t="shared" si="2"/>
        <v>3496.08</v>
      </c>
      <c r="X7" s="88"/>
    </row>
    <row r="8" spans="1:24">
      <c r="A8" s="84" t="s">
        <v>253</v>
      </c>
      <c r="B8" s="84" t="s">
        <v>288</v>
      </c>
      <c r="C8" s="84" t="s">
        <v>456</v>
      </c>
      <c r="D8" s="84">
        <v>314</v>
      </c>
      <c r="E8" s="84" t="s">
        <v>523</v>
      </c>
      <c r="F8" s="84" t="s">
        <v>638</v>
      </c>
      <c r="G8" s="84" t="s">
        <v>36</v>
      </c>
      <c r="H8" s="84" t="s">
        <v>37</v>
      </c>
      <c r="I8" s="84" t="s">
        <v>38</v>
      </c>
      <c r="J8" s="84" t="s">
        <v>598</v>
      </c>
      <c r="K8" s="84" t="s">
        <v>391</v>
      </c>
      <c r="L8" s="69">
        <v>44519</v>
      </c>
      <c r="M8" s="69">
        <v>44537</v>
      </c>
      <c r="N8" s="70">
        <f>1405.09/2</f>
        <v>702.54499999999996</v>
      </c>
      <c r="O8" s="70">
        <f>1405.09/2</f>
        <v>702.54499999999996</v>
      </c>
      <c r="P8" s="70">
        <f t="shared" si="3"/>
        <v>1405.09</v>
      </c>
      <c r="Q8" s="53">
        <v>0</v>
      </c>
      <c r="R8" s="70">
        <v>0</v>
      </c>
      <c r="S8" s="53">
        <v>0</v>
      </c>
      <c r="T8" s="70">
        <v>0</v>
      </c>
      <c r="U8" s="70">
        <f t="shared" si="0"/>
        <v>0</v>
      </c>
      <c r="V8" s="70">
        <f t="shared" si="1"/>
        <v>1405.09</v>
      </c>
      <c r="W8" s="70">
        <f t="shared" si="2"/>
        <v>1405.09</v>
      </c>
      <c r="X8" s="88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X5"/>
  <sheetViews>
    <sheetView workbookViewId="0">
      <selection activeCell="A5" sqref="A5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6" t="s">
        <v>1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</row>
    <row r="2" spans="1:24" ht="15">
      <c r="A2" s="96" t="s">
        <v>2</v>
      </c>
      <c r="B2" s="96"/>
      <c r="C2" s="96" t="s">
        <v>3</v>
      </c>
      <c r="D2" s="96"/>
      <c r="E2" s="96"/>
      <c r="F2" s="96" t="s">
        <v>4</v>
      </c>
      <c r="G2" s="96"/>
      <c r="H2" s="96"/>
      <c r="I2" s="96"/>
      <c r="J2" s="96"/>
      <c r="K2" s="96"/>
      <c r="L2" s="96"/>
      <c r="M2" s="96"/>
      <c r="N2" s="96" t="s">
        <v>5</v>
      </c>
      <c r="O2" s="96"/>
      <c r="P2" s="96"/>
      <c r="Q2" s="96" t="s">
        <v>6</v>
      </c>
      <c r="R2" s="96"/>
      <c r="S2" s="96"/>
      <c r="T2" s="96"/>
      <c r="U2" s="96"/>
      <c r="V2" s="96"/>
      <c r="W2" s="96" t="s">
        <v>7</v>
      </c>
      <c r="X2" s="149" t="s">
        <v>8</v>
      </c>
    </row>
    <row r="3" spans="1:24" ht="15">
      <c r="A3" s="97" t="s">
        <v>9</v>
      </c>
      <c r="B3" s="97" t="s">
        <v>10</v>
      </c>
      <c r="C3" s="97" t="s">
        <v>11</v>
      </c>
      <c r="D3" s="97" t="s">
        <v>12</v>
      </c>
      <c r="E3" s="97" t="s">
        <v>13</v>
      </c>
      <c r="F3" s="97" t="s">
        <v>14</v>
      </c>
      <c r="G3" s="97" t="s">
        <v>15</v>
      </c>
      <c r="H3" s="97" t="s">
        <v>16</v>
      </c>
      <c r="I3" s="97"/>
      <c r="J3" s="98" t="s">
        <v>17</v>
      </c>
      <c r="K3" s="98"/>
      <c r="L3" s="97" t="s">
        <v>18</v>
      </c>
      <c r="M3" s="97" t="s">
        <v>19</v>
      </c>
      <c r="N3" s="98" t="s">
        <v>20</v>
      </c>
      <c r="O3" s="98" t="s">
        <v>21</v>
      </c>
      <c r="P3" s="98" t="s">
        <v>22</v>
      </c>
      <c r="Q3" s="98" t="s">
        <v>23</v>
      </c>
      <c r="R3" s="98"/>
      <c r="S3" s="98" t="s">
        <v>24</v>
      </c>
      <c r="T3" s="98"/>
      <c r="U3" s="97" t="s">
        <v>25</v>
      </c>
      <c r="V3" s="98" t="s">
        <v>22</v>
      </c>
      <c r="W3" s="96"/>
      <c r="X3" s="149"/>
    </row>
    <row r="4" spans="1:24" ht="15">
      <c r="A4" s="151"/>
      <c r="B4" s="151"/>
      <c r="C4" s="151"/>
      <c r="D4" s="151"/>
      <c r="E4" s="151"/>
      <c r="F4" s="151"/>
      <c r="G4" s="151"/>
      <c r="H4" s="10" t="s">
        <v>26</v>
      </c>
      <c r="I4" s="10" t="s">
        <v>27</v>
      </c>
      <c r="J4" s="10" t="s">
        <v>26</v>
      </c>
      <c r="K4" s="11" t="s">
        <v>28</v>
      </c>
      <c r="L4" s="151"/>
      <c r="M4" s="151"/>
      <c r="N4" s="152"/>
      <c r="O4" s="152"/>
      <c r="P4" s="152"/>
      <c r="Q4" s="10" t="s">
        <v>29</v>
      </c>
      <c r="R4" s="11" t="s">
        <v>30</v>
      </c>
      <c r="S4" s="10" t="s">
        <v>29</v>
      </c>
      <c r="T4" s="11" t="s">
        <v>30</v>
      </c>
      <c r="U4" s="151"/>
      <c r="V4" s="152"/>
      <c r="W4" s="153"/>
      <c r="X4" s="150"/>
    </row>
    <row r="5" spans="1:24" ht="15">
      <c r="A5" s="77" t="s">
        <v>253</v>
      </c>
      <c r="B5" s="77" t="s">
        <v>212</v>
      </c>
      <c r="C5" s="77" t="s">
        <v>387</v>
      </c>
      <c r="D5" s="47">
        <v>347</v>
      </c>
      <c r="E5" s="94" t="s">
        <v>34</v>
      </c>
      <c r="F5" s="77" t="s">
        <v>639</v>
      </c>
      <c r="G5" s="94" t="s">
        <v>36</v>
      </c>
      <c r="H5" s="94" t="s">
        <v>37</v>
      </c>
      <c r="I5" s="94" t="s">
        <v>38</v>
      </c>
      <c r="J5" s="94" t="s">
        <v>37</v>
      </c>
      <c r="K5" s="94" t="s">
        <v>391</v>
      </c>
      <c r="L5" s="69">
        <v>44584</v>
      </c>
      <c r="M5" s="69">
        <v>44586</v>
      </c>
      <c r="N5" s="70">
        <f>3620.5/2</f>
        <v>1810.25</v>
      </c>
      <c r="O5" s="70">
        <f>3620.5/2</f>
        <v>1810.25</v>
      </c>
      <c r="P5" s="70">
        <f>SUM(N5:O5)</f>
        <v>3620.5</v>
      </c>
      <c r="Q5" s="53">
        <v>3</v>
      </c>
      <c r="R5" s="70">
        <v>120</v>
      </c>
      <c r="S5" s="53">
        <v>0</v>
      </c>
      <c r="T5" s="70">
        <v>0</v>
      </c>
      <c r="U5" s="70">
        <f t="shared" ref="U5" si="0">(Q5*R5)+(S5*T5)</f>
        <v>360</v>
      </c>
      <c r="V5" s="70">
        <f t="shared" ref="V5" si="1">U5+P5</f>
        <v>3980.5</v>
      </c>
      <c r="W5" s="70">
        <f t="shared" ref="W5" si="2">V5</f>
        <v>3980.5</v>
      </c>
      <c r="X5" s="5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X5"/>
  <sheetViews>
    <sheetView workbookViewId="0">
      <selection activeCell="A5" sqref="A5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6" t="s">
        <v>1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</row>
    <row r="2" spans="1:24" ht="15">
      <c r="A2" s="96" t="s">
        <v>2</v>
      </c>
      <c r="B2" s="96"/>
      <c r="C2" s="96" t="s">
        <v>3</v>
      </c>
      <c r="D2" s="96"/>
      <c r="E2" s="96"/>
      <c r="F2" s="96" t="s">
        <v>4</v>
      </c>
      <c r="G2" s="96"/>
      <c r="H2" s="96"/>
      <c r="I2" s="96"/>
      <c r="J2" s="96"/>
      <c r="K2" s="96"/>
      <c r="L2" s="96"/>
      <c r="M2" s="96"/>
      <c r="N2" s="96" t="s">
        <v>5</v>
      </c>
      <c r="O2" s="96"/>
      <c r="P2" s="96"/>
      <c r="Q2" s="96" t="s">
        <v>6</v>
      </c>
      <c r="R2" s="96"/>
      <c r="S2" s="96"/>
      <c r="T2" s="96"/>
      <c r="U2" s="96"/>
      <c r="V2" s="96"/>
      <c r="W2" s="96" t="s">
        <v>7</v>
      </c>
      <c r="X2" s="149" t="s">
        <v>8</v>
      </c>
    </row>
    <row r="3" spans="1:24" ht="15">
      <c r="A3" s="97" t="s">
        <v>9</v>
      </c>
      <c r="B3" s="97" t="s">
        <v>10</v>
      </c>
      <c r="C3" s="97" t="s">
        <v>11</v>
      </c>
      <c r="D3" s="97" t="s">
        <v>12</v>
      </c>
      <c r="E3" s="97" t="s">
        <v>13</v>
      </c>
      <c r="F3" s="97" t="s">
        <v>14</v>
      </c>
      <c r="G3" s="97" t="s">
        <v>15</v>
      </c>
      <c r="H3" s="97" t="s">
        <v>16</v>
      </c>
      <c r="I3" s="97"/>
      <c r="J3" s="98" t="s">
        <v>17</v>
      </c>
      <c r="K3" s="98"/>
      <c r="L3" s="97" t="s">
        <v>18</v>
      </c>
      <c r="M3" s="97" t="s">
        <v>19</v>
      </c>
      <c r="N3" s="98" t="s">
        <v>20</v>
      </c>
      <c r="O3" s="98" t="s">
        <v>21</v>
      </c>
      <c r="P3" s="98" t="s">
        <v>22</v>
      </c>
      <c r="Q3" s="98" t="s">
        <v>23</v>
      </c>
      <c r="R3" s="98"/>
      <c r="S3" s="98" t="s">
        <v>24</v>
      </c>
      <c r="T3" s="98"/>
      <c r="U3" s="97" t="s">
        <v>25</v>
      </c>
      <c r="V3" s="98" t="s">
        <v>22</v>
      </c>
      <c r="W3" s="96"/>
      <c r="X3" s="149"/>
    </row>
    <row r="4" spans="1:24" ht="15">
      <c r="A4" s="151"/>
      <c r="B4" s="151"/>
      <c r="C4" s="151"/>
      <c r="D4" s="151"/>
      <c r="E4" s="151"/>
      <c r="F4" s="151"/>
      <c r="G4" s="151"/>
      <c r="H4" s="10" t="s">
        <v>26</v>
      </c>
      <c r="I4" s="10" t="s">
        <v>27</v>
      </c>
      <c r="J4" s="10" t="s">
        <v>26</v>
      </c>
      <c r="K4" s="11" t="s">
        <v>28</v>
      </c>
      <c r="L4" s="151"/>
      <c r="M4" s="151"/>
      <c r="N4" s="152"/>
      <c r="O4" s="152"/>
      <c r="P4" s="152"/>
      <c r="Q4" s="10" t="s">
        <v>29</v>
      </c>
      <c r="R4" s="11" t="s">
        <v>30</v>
      </c>
      <c r="S4" s="10" t="s">
        <v>29</v>
      </c>
      <c r="T4" s="11" t="s">
        <v>30</v>
      </c>
      <c r="U4" s="151"/>
      <c r="V4" s="152"/>
      <c r="W4" s="153"/>
      <c r="X4" s="150"/>
    </row>
    <row r="5" spans="1:24" ht="15">
      <c r="A5" s="77" t="s">
        <v>253</v>
      </c>
      <c r="B5" s="77" t="s">
        <v>212</v>
      </c>
      <c r="C5" s="77" t="s">
        <v>387</v>
      </c>
      <c r="D5" s="47">
        <v>347</v>
      </c>
      <c r="E5" s="94" t="s">
        <v>34</v>
      </c>
      <c r="F5" s="77" t="s">
        <v>640</v>
      </c>
      <c r="G5" s="94" t="s">
        <v>36</v>
      </c>
      <c r="H5" s="94" t="s">
        <v>37</v>
      </c>
      <c r="I5" s="94" t="s">
        <v>38</v>
      </c>
      <c r="J5" s="94" t="s">
        <v>37</v>
      </c>
      <c r="K5" s="94" t="s">
        <v>391</v>
      </c>
      <c r="L5" s="69">
        <v>44605</v>
      </c>
      <c r="M5" s="69">
        <v>44608</v>
      </c>
      <c r="N5" s="70">
        <f>2846.92/2</f>
        <v>1423.46</v>
      </c>
      <c r="O5" s="70">
        <f>2846.92/2</f>
        <v>1423.46</v>
      </c>
      <c r="P5" s="70">
        <f>SUM(N5:O5)</f>
        <v>2846.92</v>
      </c>
      <c r="Q5" s="53">
        <v>4</v>
      </c>
      <c r="R5" s="70">
        <v>120</v>
      </c>
      <c r="S5" s="53">
        <v>0</v>
      </c>
      <c r="T5" s="70">
        <v>0</v>
      </c>
      <c r="U5" s="70">
        <f t="shared" ref="U5" si="0">(Q5*R5)+(S5*T5)</f>
        <v>480</v>
      </c>
      <c r="V5" s="70">
        <f t="shared" ref="V5" si="1">U5+P5</f>
        <v>3326.92</v>
      </c>
      <c r="W5" s="70">
        <f t="shared" ref="W5" si="2">V5</f>
        <v>3326.92</v>
      </c>
      <c r="X5" s="5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X7"/>
  <sheetViews>
    <sheetView workbookViewId="0">
      <selection activeCell="A6" sqref="A6:B6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6" t="s">
        <v>1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</row>
    <row r="2" spans="1:24" ht="15">
      <c r="A2" s="96" t="s">
        <v>2</v>
      </c>
      <c r="B2" s="96"/>
      <c r="C2" s="96" t="s">
        <v>3</v>
      </c>
      <c r="D2" s="96"/>
      <c r="E2" s="96"/>
      <c r="F2" s="96" t="s">
        <v>4</v>
      </c>
      <c r="G2" s="96"/>
      <c r="H2" s="96"/>
      <c r="I2" s="96"/>
      <c r="J2" s="96"/>
      <c r="K2" s="96"/>
      <c r="L2" s="96"/>
      <c r="M2" s="96"/>
      <c r="N2" s="96" t="s">
        <v>5</v>
      </c>
      <c r="O2" s="96"/>
      <c r="P2" s="96"/>
      <c r="Q2" s="96" t="s">
        <v>6</v>
      </c>
      <c r="R2" s="96"/>
      <c r="S2" s="96"/>
      <c r="T2" s="96"/>
      <c r="U2" s="96"/>
      <c r="V2" s="96"/>
      <c r="W2" s="96" t="s">
        <v>7</v>
      </c>
      <c r="X2" s="149" t="s">
        <v>8</v>
      </c>
    </row>
    <row r="3" spans="1:24" ht="15">
      <c r="A3" s="97" t="s">
        <v>9</v>
      </c>
      <c r="B3" s="97" t="s">
        <v>10</v>
      </c>
      <c r="C3" s="97" t="s">
        <v>11</v>
      </c>
      <c r="D3" s="97" t="s">
        <v>12</v>
      </c>
      <c r="E3" s="97" t="s">
        <v>13</v>
      </c>
      <c r="F3" s="97" t="s">
        <v>14</v>
      </c>
      <c r="G3" s="97" t="s">
        <v>15</v>
      </c>
      <c r="H3" s="97" t="s">
        <v>16</v>
      </c>
      <c r="I3" s="97"/>
      <c r="J3" s="98" t="s">
        <v>17</v>
      </c>
      <c r="K3" s="98"/>
      <c r="L3" s="97" t="s">
        <v>18</v>
      </c>
      <c r="M3" s="97" t="s">
        <v>19</v>
      </c>
      <c r="N3" s="98" t="s">
        <v>20</v>
      </c>
      <c r="O3" s="98" t="s">
        <v>21</v>
      </c>
      <c r="P3" s="98" t="s">
        <v>22</v>
      </c>
      <c r="Q3" s="98" t="s">
        <v>23</v>
      </c>
      <c r="R3" s="98"/>
      <c r="S3" s="98" t="s">
        <v>24</v>
      </c>
      <c r="T3" s="98"/>
      <c r="U3" s="97" t="s">
        <v>25</v>
      </c>
      <c r="V3" s="98" t="s">
        <v>22</v>
      </c>
      <c r="W3" s="96"/>
      <c r="X3" s="149"/>
    </row>
    <row r="4" spans="1:24" ht="15">
      <c r="A4" s="151"/>
      <c r="B4" s="151"/>
      <c r="C4" s="151"/>
      <c r="D4" s="151"/>
      <c r="E4" s="151"/>
      <c r="F4" s="151"/>
      <c r="G4" s="151"/>
      <c r="H4" s="10" t="s">
        <v>26</v>
      </c>
      <c r="I4" s="10" t="s">
        <v>27</v>
      </c>
      <c r="J4" s="10" t="s">
        <v>26</v>
      </c>
      <c r="K4" s="11" t="s">
        <v>28</v>
      </c>
      <c r="L4" s="151"/>
      <c r="M4" s="151"/>
      <c r="N4" s="152"/>
      <c r="O4" s="152"/>
      <c r="P4" s="152"/>
      <c r="Q4" s="10" t="s">
        <v>29</v>
      </c>
      <c r="R4" s="11" t="s">
        <v>30</v>
      </c>
      <c r="S4" s="10" t="s">
        <v>29</v>
      </c>
      <c r="T4" s="11" t="s">
        <v>30</v>
      </c>
      <c r="U4" s="151"/>
      <c r="V4" s="152"/>
      <c r="W4" s="153"/>
      <c r="X4" s="150"/>
    </row>
    <row r="5" spans="1:24" ht="15">
      <c r="A5" s="94" t="s">
        <v>595</v>
      </c>
      <c r="B5" s="94" t="s">
        <v>595</v>
      </c>
      <c r="C5" s="94" t="s">
        <v>412</v>
      </c>
      <c r="D5" s="47">
        <v>0</v>
      </c>
      <c r="E5" s="94" t="s">
        <v>562</v>
      </c>
      <c r="F5" s="94" t="s">
        <v>357</v>
      </c>
      <c r="G5" s="94" t="s">
        <v>36</v>
      </c>
      <c r="H5" s="94" t="s">
        <v>37</v>
      </c>
      <c r="I5" s="94" t="s">
        <v>38</v>
      </c>
      <c r="J5" s="94" t="s">
        <v>109</v>
      </c>
      <c r="K5" s="94" t="s">
        <v>110</v>
      </c>
      <c r="L5" s="69">
        <v>44643</v>
      </c>
      <c r="M5" s="69">
        <v>44647</v>
      </c>
      <c r="N5" s="70">
        <f>987.45/2</f>
        <v>493.72500000000002</v>
      </c>
      <c r="O5" s="70">
        <f>987.45/2</f>
        <v>493.72500000000002</v>
      </c>
      <c r="P5" s="70">
        <f>SUM(N5:O5)</f>
        <v>987.45</v>
      </c>
      <c r="Q5" s="53"/>
      <c r="R5" s="70"/>
      <c r="S5" s="53">
        <v>0</v>
      </c>
      <c r="T5" s="70">
        <v>0</v>
      </c>
      <c r="U5" s="70">
        <f t="shared" ref="U5" si="0">(Q5*R5)+(S5*T5)</f>
        <v>0</v>
      </c>
      <c r="V5" s="70">
        <f t="shared" ref="V5" si="1">U5+P5</f>
        <v>987.45</v>
      </c>
      <c r="W5" s="70">
        <f t="shared" ref="W5" si="2">V5</f>
        <v>987.45</v>
      </c>
      <c r="X5" s="53"/>
    </row>
    <row r="6" spans="1:24" ht="15">
      <c r="A6" s="94" t="s">
        <v>595</v>
      </c>
      <c r="B6" s="94" t="s">
        <v>305</v>
      </c>
      <c r="C6" s="94" t="s">
        <v>612</v>
      </c>
      <c r="D6" s="47">
        <v>355</v>
      </c>
      <c r="E6" s="94" t="s">
        <v>308</v>
      </c>
      <c r="F6" s="94" t="s">
        <v>357</v>
      </c>
      <c r="G6" s="94" t="s">
        <v>36</v>
      </c>
      <c r="H6" s="94" t="s">
        <v>37</v>
      </c>
      <c r="I6" s="94" t="s">
        <v>38</v>
      </c>
      <c r="J6" s="94" t="s">
        <v>109</v>
      </c>
      <c r="K6" s="94" t="s">
        <v>110</v>
      </c>
      <c r="L6" s="69">
        <v>44643</v>
      </c>
      <c r="M6" s="69">
        <v>44647</v>
      </c>
      <c r="N6" s="70">
        <f>2876.93/2</f>
        <v>1438.4649999999999</v>
      </c>
      <c r="O6" s="70">
        <f>2876.93/2</f>
        <v>1438.4649999999999</v>
      </c>
      <c r="P6" s="70">
        <f>SUM(N6:O6)</f>
        <v>2876.93</v>
      </c>
      <c r="Q6" s="53">
        <v>5</v>
      </c>
      <c r="R6" s="70">
        <v>120</v>
      </c>
      <c r="S6" s="53">
        <v>0</v>
      </c>
      <c r="T6" s="70">
        <v>0</v>
      </c>
      <c r="U6" s="70">
        <f t="shared" ref="U6" si="3">(Q6*R6)+(S6*T6)</f>
        <v>600</v>
      </c>
      <c r="V6" s="70">
        <f t="shared" ref="V6" si="4">U6+P6</f>
        <v>3476.93</v>
      </c>
      <c r="W6" s="70">
        <f t="shared" ref="W6" si="5">V6</f>
        <v>3476.93</v>
      </c>
      <c r="X6" s="53"/>
    </row>
    <row r="7" spans="1:24" ht="15">
      <c r="A7" s="94" t="s">
        <v>253</v>
      </c>
      <c r="B7" s="94" t="s">
        <v>288</v>
      </c>
      <c r="C7" s="94" t="s">
        <v>636</v>
      </c>
      <c r="D7" s="47">
        <v>78</v>
      </c>
      <c r="E7" s="94" t="s">
        <v>98</v>
      </c>
      <c r="F7" s="94" t="s">
        <v>641</v>
      </c>
      <c r="G7" s="94" t="s">
        <v>36</v>
      </c>
      <c r="H7" s="94" t="s">
        <v>37</v>
      </c>
      <c r="I7" s="94" t="s">
        <v>38</v>
      </c>
      <c r="J7" s="94" t="s">
        <v>37</v>
      </c>
      <c r="K7" s="94" t="s">
        <v>391</v>
      </c>
      <c r="L7" s="69">
        <v>44610</v>
      </c>
      <c r="M7" s="69">
        <v>44623</v>
      </c>
      <c r="N7" s="70">
        <f>2980.92/2</f>
        <v>1490.46</v>
      </c>
      <c r="O7" s="70">
        <f>2980.92/2</f>
        <v>1490.46</v>
      </c>
      <c r="P7" s="70">
        <f>SUM(N7:O7)</f>
        <v>2980.92</v>
      </c>
      <c r="Q7" s="53">
        <v>14</v>
      </c>
      <c r="R7" s="70">
        <v>120</v>
      </c>
      <c r="S7" s="53">
        <v>0</v>
      </c>
      <c r="T7" s="70">
        <v>0</v>
      </c>
      <c r="U7" s="70">
        <f t="shared" ref="U7" si="6">(Q7*R7)+(S7*T7)</f>
        <v>1680</v>
      </c>
      <c r="V7" s="70">
        <f t="shared" ref="V7" si="7">U7+P7</f>
        <v>4660.92</v>
      </c>
      <c r="W7" s="70">
        <f t="shared" ref="W7" si="8">V7</f>
        <v>4660.92</v>
      </c>
      <c r="X7" s="5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X29"/>
  <sheetViews>
    <sheetView workbookViewId="0">
      <selection activeCell="B29" sqref="B29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6" t="s">
        <v>1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</row>
    <row r="2" spans="1:24" ht="15">
      <c r="A2" s="96" t="s">
        <v>2</v>
      </c>
      <c r="B2" s="96"/>
      <c r="C2" s="96" t="s">
        <v>3</v>
      </c>
      <c r="D2" s="96"/>
      <c r="E2" s="96"/>
      <c r="F2" s="96" t="s">
        <v>4</v>
      </c>
      <c r="G2" s="96"/>
      <c r="H2" s="96"/>
      <c r="I2" s="96"/>
      <c r="J2" s="96"/>
      <c r="K2" s="96"/>
      <c r="L2" s="96"/>
      <c r="M2" s="96"/>
      <c r="N2" s="96" t="s">
        <v>5</v>
      </c>
      <c r="O2" s="96"/>
      <c r="P2" s="96"/>
      <c r="Q2" s="96" t="s">
        <v>6</v>
      </c>
      <c r="R2" s="96"/>
      <c r="S2" s="96"/>
      <c r="T2" s="96"/>
      <c r="U2" s="96"/>
      <c r="V2" s="96"/>
      <c r="W2" s="96" t="s">
        <v>7</v>
      </c>
      <c r="X2" s="149" t="s">
        <v>8</v>
      </c>
    </row>
    <row r="3" spans="1:24" ht="15">
      <c r="A3" s="97" t="s">
        <v>9</v>
      </c>
      <c r="B3" s="97" t="s">
        <v>10</v>
      </c>
      <c r="C3" s="97" t="s">
        <v>11</v>
      </c>
      <c r="D3" s="97" t="s">
        <v>12</v>
      </c>
      <c r="E3" s="97" t="s">
        <v>13</v>
      </c>
      <c r="F3" s="97" t="s">
        <v>14</v>
      </c>
      <c r="G3" s="97" t="s">
        <v>15</v>
      </c>
      <c r="H3" s="97" t="s">
        <v>16</v>
      </c>
      <c r="I3" s="97"/>
      <c r="J3" s="98" t="s">
        <v>17</v>
      </c>
      <c r="K3" s="98"/>
      <c r="L3" s="97" t="s">
        <v>18</v>
      </c>
      <c r="M3" s="97" t="s">
        <v>19</v>
      </c>
      <c r="N3" s="98" t="s">
        <v>20</v>
      </c>
      <c r="O3" s="98" t="s">
        <v>21</v>
      </c>
      <c r="P3" s="98" t="s">
        <v>22</v>
      </c>
      <c r="Q3" s="98" t="s">
        <v>23</v>
      </c>
      <c r="R3" s="98"/>
      <c r="S3" s="98" t="s">
        <v>24</v>
      </c>
      <c r="T3" s="98"/>
      <c r="U3" s="97" t="s">
        <v>25</v>
      </c>
      <c r="V3" s="98" t="s">
        <v>22</v>
      </c>
      <c r="W3" s="96"/>
      <c r="X3" s="149"/>
    </row>
    <row r="4" spans="1:24" ht="15">
      <c r="A4" s="151"/>
      <c r="B4" s="151"/>
      <c r="C4" s="151"/>
      <c r="D4" s="151"/>
      <c r="E4" s="151"/>
      <c r="F4" s="151"/>
      <c r="G4" s="151"/>
      <c r="H4" s="10" t="s">
        <v>26</v>
      </c>
      <c r="I4" s="10" t="s">
        <v>27</v>
      </c>
      <c r="J4" s="10" t="s">
        <v>26</v>
      </c>
      <c r="K4" s="11" t="s">
        <v>28</v>
      </c>
      <c r="L4" s="151"/>
      <c r="M4" s="151"/>
      <c r="N4" s="152"/>
      <c r="O4" s="152"/>
      <c r="P4" s="152"/>
      <c r="Q4" s="10" t="s">
        <v>29</v>
      </c>
      <c r="R4" s="11" t="s">
        <v>30</v>
      </c>
      <c r="S4" s="10" t="s">
        <v>29</v>
      </c>
      <c r="T4" s="11" t="s">
        <v>30</v>
      </c>
      <c r="U4" s="151"/>
      <c r="V4" s="152"/>
      <c r="W4" s="153"/>
      <c r="X4" s="150"/>
    </row>
    <row r="5" spans="1:24" ht="15">
      <c r="A5" s="94" t="s">
        <v>253</v>
      </c>
      <c r="B5" s="94" t="s">
        <v>288</v>
      </c>
      <c r="C5" s="94" t="s">
        <v>642</v>
      </c>
      <c r="D5" s="47">
        <v>252</v>
      </c>
      <c r="E5" s="94" t="s">
        <v>98</v>
      </c>
      <c r="F5" s="94" t="s">
        <v>643</v>
      </c>
      <c r="G5" s="94" t="s">
        <v>36</v>
      </c>
      <c r="H5" s="94" t="s">
        <v>37</v>
      </c>
      <c r="I5" s="94" t="s">
        <v>38</v>
      </c>
      <c r="J5" s="94" t="s">
        <v>37</v>
      </c>
      <c r="K5" s="94" t="s">
        <v>391</v>
      </c>
      <c r="L5" s="69">
        <v>44659</v>
      </c>
      <c r="M5" s="69">
        <v>44677</v>
      </c>
      <c r="N5" s="70">
        <v>2980.92</v>
      </c>
      <c r="O5" s="70">
        <v>1405.09</v>
      </c>
      <c r="P5" s="70">
        <f>SUM(N5:O5)</f>
        <v>4386.01</v>
      </c>
      <c r="Q5" s="53"/>
      <c r="R5" s="70"/>
      <c r="S5" s="53">
        <v>0</v>
      </c>
      <c r="T5" s="70">
        <v>0</v>
      </c>
      <c r="U5" s="70">
        <f t="shared" ref="U5:U29" si="0">(Q5*R5)+(S5*T5)</f>
        <v>0</v>
      </c>
      <c r="V5" s="70">
        <f t="shared" ref="V5:V7" si="1">U5+P5</f>
        <v>4386.01</v>
      </c>
      <c r="W5" s="70">
        <f t="shared" ref="W5:W7" si="2">V5</f>
        <v>4386.01</v>
      </c>
      <c r="X5" s="53"/>
    </row>
    <row r="6" spans="1:24" ht="15">
      <c r="A6" s="94" t="s">
        <v>371</v>
      </c>
      <c r="B6" s="94" t="s">
        <v>371</v>
      </c>
      <c r="C6" s="94" t="s">
        <v>79</v>
      </c>
      <c r="D6" s="47">
        <v>0</v>
      </c>
      <c r="E6" s="94" t="s">
        <v>80</v>
      </c>
      <c r="F6" s="94" t="s">
        <v>644</v>
      </c>
      <c r="G6" s="94" t="s">
        <v>36</v>
      </c>
      <c r="H6" s="94" t="s">
        <v>37</v>
      </c>
      <c r="I6" s="94" t="s">
        <v>38</v>
      </c>
      <c r="J6" s="94" t="s">
        <v>37</v>
      </c>
      <c r="K6" s="94" t="s">
        <v>261</v>
      </c>
      <c r="L6" s="69">
        <v>44658</v>
      </c>
      <c r="M6" s="69">
        <v>44659</v>
      </c>
      <c r="N6" s="70">
        <v>0</v>
      </c>
      <c r="O6" s="70">
        <v>0</v>
      </c>
      <c r="P6" s="70">
        <f>SUM(N6:O6)</f>
        <v>0</v>
      </c>
      <c r="Q6" s="53">
        <v>0</v>
      </c>
      <c r="R6" s="70">
        <v>0</v>
      </c>
      <c r="S6" s="53">
        <v>0</v>
      </c>
      <c r="T6" s="70">
        <v>0</v>
      </c>
      <c r="U6" s="70">
        <f t="shared" si="0"/>
        <v>0</v>
      </c>
      <c r="V6" s="70">
        <f t="shared" si="1"/>
        <v>0</v>
      </c>
      <c r="W6" s="70">
        <f t="shared" si="2"/>
        <v>0</v>
      </c>
      <c r="X6" s="53"/>
    </row>
    <row r="7" spans="1:24" ht="15">
      <c r="A7" s="94" t="s">
        <v>371</v>
      </c>
      <c r="B7" s="94" t="s">
        <v>371</v>
      </c>
      <c r="C7" s="94" t="s">
        <v>617</v>
      </c>
      <c r="D7" s="47">
        <v>57</v>
      </c>
      <c r="E7" s="94" t="s">
        <v>618</v>
      </c>
      <c r="F7" s="94" t="s">
        <v>644</v>
      </c>
      <c r="G7" s="94" t="s">
        <v>36</v>
      </c>
      <c r="H7" s="94" t="s">
        <v>37</v>
      </c>
      <c r="I7" s="94" t="s">
        <v>38</v>
      </c>
      <c r="J7" s="94" t="s">
        <v>37</v>
      </c>
      <c r="K7" s="94" t="s">
        <v>261</v>
      </c>
      <c r="L7" s="69">
        <v>44658</v>
      </c>
      <c r="M7" s="69">
        <v>44659</v>
      </c>
      <c r="N7" s="70">
        <v>0</v>
      </c>
      <c r="O7" s="70">
        <v>0</v>
      </c>
      <c r="P7" s="70">
        <f t="shared" ref="P7:P29" si="3">SUM(N7:O7)</f>
        <v>0</v>
      </c>
      <c r="Q7" s="53">
        <v>2</v>
      </c>
      <c r="R7" s="70">
        <v>120</v>
      </c>
      <c r="S7" s="53">
        <v>0</v>
      </c>
      <c r="T7" s="70">
        <v>0</v>
      </c>
      <c r="U7" s="70">
        <f t="shared" si="0"/>
        <v>240</v>
      </c>
      <c r="V7" s="70">
        <f t="shared" si="1"/>
        <v>240</v>
      </c>
      <c r="W7" s="70">
        <f t="shared" si="2"/>
        <v>240</v>
      </c>
      <c r="X7" s="53"/>
    </row>
    <row r="8" spans="1:24" ht="15">
      <c r="A8" s="94" t="s">
        <v>231</v>
      </c>
      <c r="B8" s="94" t="s">
        <v>366</v>
      </c>
      <c r="C8" s="94" t="s">
        <v>367</v>
      </c>
      <c r="D8" s="47">
        <v>23</v>
      </c>
      <c r="E8" s="94" t="s">
        <v>609</v>
      </c>
      <c r="F8" s="94" t="s">
        <v>644</v>
      </c>
      <c r="G8" s="94" t="s">
        <v>36</v>
      </c>
      <c r="H8" s="94" t="s">
        <v>37</v>
      </c>
      <c r="I8" s="94" t="s">
        <v>38</v>
      </c>
      <c r="J8" s="94" t="s">
        <v>37</v>
      </c>
      <c r="K8" s="94" t="s">
        <v>261</v>
      </c>
      <c r="L8" s="69">
        <v>44658</v>
      </c>
      <c r="M8" s="69">
        <v>44659</v>
      </c>
      <c r="N8" s="70">
        <v>0</v>
      </c>
      <c r="O8" s="70">
        <v>0</v>
      </c>
      <c r="P8" s="70">
        <f t="shared" si="3"/>
        <v>0</v>
      </c>
      <c r="Q8" s="53">
        <v>2</v>
      </c>
      <c r="R8" s="70">
        <v>120</v>
      </c>
      <c r="S8" s="53">
        <v>0</v>
      </c>
      <c r="T8" s="70"/>
      <c r="U8" s="70">
        <f t="shared" si="0"/>
        <v>240</v>
      </c>
      <c r="V8" s="70">
        <f t="shared" ref="V8:V29" si="4">U8+P8</f>
        <v>240</v>
      </c>
      <c r="W8" s="70">
        <f t="shared" ref="W8:W29" si="5">V8</f>
        <v>240</v>
      </c>
      <c r="X8" s="44"/>
    </row>
    <row r="9" spans="1:24" ht="15">
      <c r="A9" s="94" t="s">
        <v>231</v>
      </c>
      <c r="B9" s="94" t="s">
        <v>231</v>
      </c>
      <c r="C9" s="94" t="s">
        <v>412</v>
      </c>
      <c r="D9" s="47">
        <v>0</v>
      </c>
      <c r="E9" s="94" t="s">
        <v>562</v>
      </c>
      <c r="F9" s="94" t="s">
        <v>644</v>
      </c>
      <c r="G9" s="94" t="s">
        <v>36</v>
      </c>
      <c r="H9" s="94" t="s">
        <v>37</v>
      </c>
      <c r="I9" s="94" t="s">
        <v>38</v>
      </c>
      <c r="J9" s="94" t="s">
        <v>37</v>
      </c>
      <c r="K9" s="94" t="s">
        <v>261</v>
      </c>
      <c r="L9" s="69">
        <v>44658</v>
      </c>
      <c r="M9" s="69">
        <v>44659</v>
      </c>
      <c r="N9" s="70">
        <v>0</v>
      </c>
      <c r="O9" s="70">
        <v>0</v>
      </c>
      <c r="P9" s="70">
        <f t="shared" si="3"/>
        <v>0</v>
      </c>
      <c r="Q9" s="53">
        <v>0</v>
      </c>
      <c r="R9" s="70">
        <v>0</v>
      </c>
      <c r="S9" s="53">
        <v>0</v>
      </c>
      <c r="T9" s="70"/>
      <c r="U9" s="70">
        <f t="shared" si="0"/>
        <v>0</v>
      </c>
      <c r="V9" s="70">
        <f t="shared" si="4"/>
        <v>0</v>
      </c>
      <c r="W9" s="70">
        <f t="shared" si="5"/>
        <v>0</v>
      </c>
      <c r="X9" s="44"/>
    </row>
    <row r="10" spans="1:24" ht="15">
      <c r="A10" s="94" t="s">
        <v>253</v>
      </c>
      <c r="B10" s="94" t="s">
        <v>259</v>
      </c>
      <c r="C10" s="94" t="s">
        <v>613</v>
      </c>
      <c r="D10" s="47">
        <v>372</v>
      </c>
      <c r="E10" s="94" t="s">
        <v>191</v>
      </c>
      <c r="F10" s="94" t="s">
        <v>644</v>
      </c>
      <c r="G10" s="94" t="s">
        <v>36</v>
      </c>
      <c r="H10" s="94" t="s">
        <v>37</v>
      </c>
      <c r="I10" s="94" t="s">
        <v>38</v>
      </c>
      <c r="J10" s="94" t="s">
        <v>37</v>
      </c>
      <c r="K10" s="94" t="s">
        <v>261</v>
      </c>
      <c r="L10" s="69">
        <v>44658</v>
      </c>
      <c r="M10" s="69">
        <v>44659</v>
      </c>
      <c r="N10" s="70">
        <v>0</v>
      </c>
      <c r="O10" s="70">
        <v>0</v>
      </c>
      <c r="P10" s="70">
        <f t="shared" si="3"/>
        <v>0</v>
      </c>
      <c r="Q10" s="53">
        <v>2</v>
      </c>
      <c r="R10" s="70">
        <v>120</v>
      </c>
      <c r="S10" s="53">
        <v>0</v>
      </c>
      <c r="T10" s="70"/>
      <c r="U10" s="70">
        <f t="shared" si="0"/>
        <v>240</v>
      </c>
      <c r="V10" s="70">
        <f t="shared" si="4"/>
        <v>240</v>
      </c>
      <c r="W10" s="70">
        <f t="shared" si="5"/>
        <v>240</v>
      </c>
      <c r="X10" s="44"/>
    </row>
    <row r="11" spans="1:24" ht="15">
      <c r="A11" s="94" t="s">
        <v>231</v>
      </c>
      <c r="B11" s="94" t="s">
        <v>221</v>
      </c>
      <c r="C11" s="94" t="s">
        <v>54</v>
      </c>
      <c r="D11" s="47">
        <v>56</v>
      </c>
      <c r="E11" s="94" t="s">
        <v>610</v>
      </c>
      <c r="F11" s="94" t="s">
        <v>644</v>
      </c>
      <c r="G11" s="94" t="s">
        <v>36</v>
      </c>
      <c r="H11" s="94" t="s">
        <v>37</v>
      </c>
      <c r="I11" s="94" t="s">
        <v>38</v>
      </c>
      <c r="J11" s="94" t="s">
        <v>37</v>
      </c>
      <c r="K11" s="94" t="s">
        <v>261</v>
      </c>
      <c r="L11" s="69">
        <v>44658</v>
      </c>
      <c r="M11" s="69">
        <v>44659</v>
      </c>
      <c r="N11" s="70">
        <v>0</v>
      </c>
      <c r="O11" s="70">
        <v>0</v>
      </c>
      <c r="P11" s="70">
        <f t="shared" si="3"/>
        <v>0</v>
      </c>
      <c r="Q11" s="53">
        <v>2</v>
      </c>
      <c r="R11" s="70">
        <v>120</v>
      </c>
      <c r="S11" s="53">
        <v>0</v>
      </c>
      <c r="T11" s="70"/>
      <c r="U11" s="70">
        <f t="shared" si="0"/>
        <v>240</v>
      </c>
      <c r="V11" s="70">
        <f t="shared" si="4"/>
        <v>240</v>
      </c>
      <c r="W11" s="70">
        <f t="shared" si="5"/>
        <v>240</v>
      </c>
      <c r="X11" s="44"/>
    </row>
    <row r="12" spans="1:24" ht="15">
      <c r="A12" s="94" t="s">
        <v>231</v>
      </c>
      <c r="B12" s="94" t="s">
        <v>229</v>
      </c>
      <c r="C12" s="94" t="s">
        <v>71</v>
      </c>
      <c r="D12" s="47">
        <v>303</v>
      </c>
      <c r="E12" s="94" t="s">
        <v>645</v>
      </c>
      <c r="F12" s="94" t="s">
        <v>644</v>
      </c>
      <c r="G12" s="94" t="s">
        <v>36</v>
      </c>
      <c r="H12" s="94" t="s">
        <v>37</v>
      </c>
      <c r="I12" s="94" t="s">
        <v>38</v>
      </c>
      <c r="J12" s="94" t="s">
        <v>37</v>
      </c>
      <c r="K12" s="94" t="s">
        <v>261</v>
      </c>
      <c r="L12" s="69">
        <v>44658</v>
      </c>
      <c r="M12" s="69">
        <v>44659</v>
      </c>
      <c r="N12" s="70">
        <v>0</v>
      </c>
      <c r="O12" s="70">
        <v>0</v>
      </c>
      <c r="P12" s="70">
        <f t="shared" si="3"/>
        <v>0</v>
      </c>
      <c r="Q12" s="53">
        <v>2</v>
      </c>
      <c r="R12" s="70">
        <v>120</v>
      </c>
      <c r="S12" s="53">
        <v>0</v>
      </c>
      <c r="T12" s="70"/>
      <c r="U12" s="70">
        <f t="shared" si="0"/>
        <v>240</v>
      </c>
      <c r="V12" s="70">
        <f t="shared" si="4"/>
        <v>240</v>
      </c>
      <c r="W12" s="70">
        <f t="shared" si="5"/>
        <v>240</v>
      </c>
      <c r="X12" s="44"/>
    </row>
    <row r="13" spans="1:24" ht="15">
      <c r="A13" s="94" t="s">
        <v>231</v>
      </c>
      <c r="B13" s="94" t="s">
        <v>229</v>
      </c>
      <c r="C13" s="94" t="s">
        <v>586</v>
      </c>
      <c r="D13" s="47">
        <v>357</v>
      </c>
      <c r="E13" s="94" t="s">
        <v>248</v>
      </c>
      <c r="F13" s="94" t="s">
        <v>644</v>
      </c>
      <c r="G13" s="94" t="s">
        <v>36</v>
      </c>
      <c r="H13" s="94" t="s">
        <v>37</v>
      </c>
      <c r="I13" s="94" t="s">
        <v>38</v>
      </c>
      <c r="J13" s="94" t="s">
        <v>37</v>
      </c>
      <c r="K13" s="94" t="s">
        <v>261</v>
      </c>
      <c r="L13" s="69">
        <v>44658</v>
      </c>
      <c r="M13" s="69">
        <v>44659</v>
      </c>
      <c r="N13" s="70">
        <v>0</v>
      </c>
      <c r="O13" s="70">
        <v>0</v>
      </c>
      <c r="P13" s="70">
        <f t="shared" si="3"/>
        <v>0</v>
      </c>
      <c r="Q13" s="53">
        <v>2</v>
      </c>
      <c r="R13" s="70">
        <v>120</v>
      </c>
      <c r="S13" s="53">
        <v>0</v>
      </c>
      <c r="T13" s="70"/>
      <c r="U13" s="70">
        <f t="shared" si="0"/>
        <v>240</v>
      </c>
      <c r="V13" s="70">
        <f t="shared" si="4"/>
        <v>240</v>
      </c>
      <c r="W13" s="70">
        <f t="shared" si="5"/>
        <v>240</v>
      </c>
      <c r="X13" s="44"/>
    </row>
    <row r="14" spans="1:24" ht="15">
      <c r="A14" s="94" t="s">
        <v>253</v>
      </c>
      <c r="B14" s="94" t="s">
        <v>212</v>
      </c>
      <c r="C14" s="94" t="s">
        <v>404</v>
      </c>
      <c r="D14" s="47">
        <v>345</v>
      </c>
      <c r="E14" s="94" t="s">
        <v>646</v>
      </c>
      <c r="F14" s="94" t="s">
        <v>644</v>
      </c>
      <c r="G14" s="94" t="s">
        <v>36</v>
      </c>
      <c r="H14" s="94" t="s">
        <v>37</v>
      </c>
      <c r="I14" s="94" t="s">
        <v>38</v>
      </c>
      <c r="J14" s="94" t="s">
        <v>37</v>
      </c>
      <c r="K14" s="94" t="s">
        <v>261</v>
      </c>
      <c r="L14" s="69">
        <v>44658</v>
      </c>
      <c r="M14" s="69">
        <v>44659</v>
      </c>
      <c r="N14" s="70">
        <v>0</v>
      </c>
      <c r="O14" s="70">
        <v>0</v>
      </c>
      <c r="P14" s="70">
        <f t="shared" si="3"/>
        <v>0</v>
      </c>
      <c r="Q14" s="53">
        <v>2</v>
      </c>
      <c r="R14" s="70">
        <v>120</v>
      </c>
      <c r="S14" s="53">
        <v>0</v>
      </c>
      <c r="T14" s="70"/>
      <c r="U14" s="70">
        <f t="shared" si="0"/>
        <v>240</v>
      </c>
      <c r="V14" s="70">
        <f t="shared" si="4"/>
        <v>240</v>
      </c>
      <c r="W14" s="70">
        <f t="shared" si="5"/>
        <v>240</v>
      </c>
      <c r="X14" s="44"/>
    </row>
    <row r="15" spans="1:24" ht="15">
      <c r="A15" s="94" t="s">
        <v>231</v>
      </c>
      <c r="B15" s="94" t="s">
        <v>229</v>
      </c>
      <c r="C15" s="94" t="s">
        <v>647</v>
      </c>
      <c r="D15" s="47">
        <v>377</v>
      </c>
      <c r="E15" s="94" t="s">
        <v>648</v>
      </c>
      <c r="F15" s="94" t="s">
        <v>644</v>
      </c>
      <c r="G15" s="94" t="s">
        <v>36</v>
      </c>
      <c r="H15" s="94" t="s">
        <v>37</v>
      </c>
      <c r="I15" s="94" t="s">
        <v>38</v>
      </c>
      <c r="J15" s="94" t="s">
        <v>37</v>
      </c>
      <c r="K15" s="94" t="s">
        <v>261</v>
      </c>
      <c r="L15" s="69">
        <v>44658</v>
      </c>
      <c r="M15" s="69">
        <v>44659</v>
      </c>
      <c r="N15" s="70">
        <v>0</v>
      </c>
      <c r="O15" s="70">
        <v>0</v>
      </c>
      <c r="P15" s="70">
        <f t="shared" si="3"/>
        <v>0</v>
      </c>
      <c r="Q15" s="53">
        <v>2</v>
      </c>
      <c r="R15" s="70">
        <v>120</v>
      </c>
      <c r="S15" s="53">
        <v>0</v>
      </c>
      <c r="T15" s="70"/>
      <c r="U15" s="70">
        <f t="shared" si="0"/>
        <v>240</v>
      </c>
      <c r="V15" s="70">
        <f t="shared" si="4"/>
        <v>240</v>
      </c>
      <c r="W15" s="70">
        <f t="shared" si="5"/>
        <v>240</v>
      </c>
      <c r="X15" s="44"/>
    </row>
    <row r="16" spans="1:24" ht="15">
      <c r="A16" s="94" t="s">
        <v>231</v>
      </c>
      <c r="B16" s="94" t="s">
        <v>544</v>
      </c>
      <c r="C16" s="94" t="s">
        <v>545</v>
      </c>
      <c r="D16" s="47">
        <v>353</v>
      </c>
      <c r="E16" s="94" t="s">
        <v>547</v>
      </c>
      <c r="F16" s="94" t="s">
        <v>644</v>
      </c>
      <c r="G16" s="94" t="s">
        <v>36</v>
      </c>
      <c r="H16" s="94" t="s">
        <v>37</v>
      </c>
      <c r="I16" s="94" t="s">
        <v>38</v>
      </c>
      <c r="J16" s="94" t="s">
        <v>37</v>
      </c>
      <c r="K16" s="94" t="s">
        <v>261</v>
      </c>
      <c r="L16" s="69">
        <v>44658</v>
      </c>
      <c r="M16" s="69">
        <v>44659</v>
      </c>
      <c r="N16" s="70">
        <v>0</v>
      </c>
      <c r="O16" s="70">
        <v>0</v>
      </c>
      <c r="P16" s="70">
        <f t="shared" si="3"/>
        <v>0</v>
      </c>
      <c r="Q16" s="53">
        <v>2</v>
      </c>
      <c r="R16" s="70">
        <v>120</v>
      </c>
      <c r="S16" s="53">
        <v>0</v>
      </c>
      <c r="T16" s="70"/>
      <c r="U16" s="70">
        <f t="shared" si="0"/>
        <v>240</v>
      </c>
      <c r="V16" s="70">
        <f t="shared" si="4"/>
        <v>240</v>
      </c>
      <c r="W16" s="70">
        <f t="shared" si="5"/>
        <v>240</v>
      </c>
      <c r="X16" s="44"/>
    </row>
    <row r="17" spans="1:24" ht="15">
      <c r="A17" s="94" t="s">
        <v>253</v>
      </c>
      <c r="B17" s="94" t="s">
        <v>253</v>
      </c>
      <c r="C17" s="94" t="s">
        <v>320</v>
      </c>
      <c r="D17" s="47" t="s">
        <v>629</v>
      </c>
      <c r="E17" s="94" t="s">
        <v>78</v>
      </c>
      <c r="F17" s="94" t="s">
        <v>644</v>
      </c>
      <c r="G17" s="94" t="s">
        <v>36</v>
      </c>
      <c r="H17" s="94" t="s">
        <v>37</v>
      </c>
      <c r="I17" s="94" t="s">
        <v>38</v>
      </c>
      <c r="J17" s="94" t="s">
        <v>37</v>
      </c>
      <c r="K17" s="94" t="s">
        <v>261</v>
      </c>
      <c r="L17" s="69">
        <v>44658</v>
      </c>
      <c r="M17" s="69">
        <v>44659</v>
      </c>
      <c r="N17" s="70">
        <v>0</v>
      </c>
      <c r="O17" s="70">
        <v>0</v>
      </c>
      <c r="P17" s="70">
        <f t="shared" si="3"/>
        <v>0</v>
      </c>
      <c r="Q17" s="53">
        <v>2</v>
      </c>
      <c r="R17" s="70">
        <v>120</v>
      </c>
      <c r="S17" s="53">
        <v>0</v>
      </c>
      <c r="T17" s="70"/>
      <c r="U17" s="70">
        <f t="shared" si="0"/>
        <v>240</v>
      </c>
      <c r="V17" s="70">
        <f t="shared" si="4"/>
        <v>240</v>
      </c>
      <c r="W17" s="70">
        <f t="shared" si="5"/>
        <v>240</v>
      </c>
      <c r="X17" s="44"/>
    </row>
    <row r="18" spans="1:24" ht="15">
      <c r="A18" s="94" t="s">
        <v>253</v>
      </c>
      <c r="B18" s="94" t="s">
        <v>212</v>
      </c>
      <c r="C18" s="94" t="s">
        <v>270</v>
      </c>
      <c r="D18" s="47" t="s">
        <v>168</v>
      </c>
      <c r="E18" s="94" t="s">
        <v>599</v>
      </c>
      <c r="F18" s="94" t="s">
        <v>644</v>
      </c>
      <c r="G18" s="94" t="s">
        <v>36</v>
      </c>
      <c r="H18" s="94" t="s">
        <v>37</v>
      </c>
      <c r="I18" s="94" t="s">
        <v>38</v>
      </c>
      <c r="J18" s="94" t="s">
        <v>37</v>
      </c>
      <c r="K18" s="94" t="s">
        <v>261</v>
      </c>
      <c r="L18" s="69">
        <v>44658</v>
      </c>
      <c r="M18" s="69">
        <v>44659</v>
      </c>
      <c r="N18" s="70">
        <v>0</v>
      </c>
      <c r="O18" s="70">
        <v>0</v>
      </c>
      <c r="P18" s="70">
        <f t="shared" si="3"/>
        <v>0</v>
      </c>
      <c r="Q18" s="53">
        <v>2</v>
      </c>
      <c r="R18" s="70">
        <v>120</v>
      </c>
      <c r="S18" s="53">
        <v>0</v>
      </c>
      <c r="T18" s="70"/>
      <c r="U18" s="70">
        <f t="shared" si="0"/>
        <v>240</v>
      </c>
      <c r="V18" s="70">
        <f t="shared" si="4"/>
        <v>240</v>
      </c>
      <c r="W18" s="70">
        <f t="shared" si="5"/>
        <v>240</v>
      </c>
      <c r="X18" s="44"/>
    </row>
    <row r="19" spans="1:24" ht="15">
      <c r="A19" s="94" t="s">
        <v>253</v>
      </c>
      <c r="B19" s="94" t="s">
        <v>212</v>
      </c>
      <c r="C19" s="94" t="s">
        <v>41</v>
      </c>
      <c r="D19" s="47">
        <v>129</v>
      </c>
      <c r="E19" s="94" t="s">
        <v>649</v>
      </c>
      <c r="F19" s="94" t="s">
        <v>644</v>
      </c>
      <c r="G19" s="94" t="s">
        <v>36</v>
      </c>
      <c r="H19" s="94" t="s">
        <v>37</v>
      </c>
      <c r="I19" s="94" t="s">
        <v>38</v>
      </c>
      <c r="J19" s="94" t="s">
        <v>37</v>
      </c>
      <c r="K19" s="94" t="s">
        <v>261</v>
      </c>
      <c r="L19" s="69">
        <v>44658</v>
      </c>
      <c r="M19" s="69">
        <v>44659</v>
      </c>
      <c r="N19" s="70">
        <v>0</v>
      </c>
      <c r="O19" s="70">
        <v>0</v>
      </c>
      <c r="P19" s="70">
        <f t="shared" si="3"/>
        <v>0</v>
      </c>
      <c r="Q19" s="53">
        <v>2</v>
      </c>
      <c r="R19" s="70">
        <v>120</v>
      </c>
      <c r="S19" s="53">
        <v>0</v>
      </c>
      <c r="T19" s="70"/>
      <c r="U19" s="70">
        <f t="shared" si="0"/>
        <v>240</v>
      </c>
      <c r="V19" s="70">
        <f t="shared" si="4"/>
        <v>240</v>
      </c>
      <c r="W19" s="70">
        <f t="shared" si="5"/>
        <v>240</v>
      </c>
      <c r="X19" s="44"/>
    </row>
    <row r="20" spans="1:24" ht="15">
      <c r="A20" s="94" t="s">
        <v>371</v>
      </c>
      <c r="B20" s="94" t="s">
        <v>396</v>
      </c>
      <c r="C20" s="94" t="s">
        <v>267</v>
      </c>
      <c r="D20" s="47">
        <v>296</v>
      </c>
      <c r="E20" s="94" t="s">
        <v>650</v>
      </c>
      <c r="F20" s="94" t="s">
        <v>644</v>
      </c>
      <c r="G20" s="94" t="s">
        <v>36</v>
      </c>
      <c r="H20" s="94" t="s">
        <v>37</v>
      </c>
      <c r="I20" s="94" t="s">
        <v>38</v>
      </c>
      <c r="J20" s="94" t="s">
        <v>37</v>
      </c>
      <c r="K20" s="94" t="s">
        <v>261</v>
      </c>
      <c r="L20" s="69">
        <v>44658</v>
      </c>
      <c r="M20" s="69">
        <v>44659</v>
      </c>
      <c r="N20" s="70">
        <v>0</v>
      </c>
      <c r="O20" s="70">
        <v>0</v>
      </c>
      <c r="P20" s="70">
        <f t="shared" si="3"/>
        <v>0</v>
      </c>
      <c r="Q20" s="53">
        <v>2</v>
      </c>
      <c r="R20" s="70">
        <v>120</v>
      </c>
      <c r="S20" s="53">
        <v>0</v>
      </c>
      <c r="T20" s="70"/>
      <c r="U20" s="70">
        <f t="shared" si="0"/>
        <v>240</v>
      </c>
      <c r="V20" s="70">
        <f t="shared" si="4"/>
        <v>240</v>
      </c>
      <c r="W20" s="70">
        <f t="shared" si="5"/>
        <v>240</v>
      </c>
      <c r="X20" s="44"/>
    </row>
    <row r="21" spans="1:24" ht="15">
      <c r="A21" s="94" t="s">
        <v>371</v>
      </c>
      <c r="B21" s="94" t="s">
        <v>240</v>
      </c>
      <c r="C21" s="94" t="s">
        <v>140</v>
      </c>
      <c r="D21" s="47">
        <v>230</v>
      </c>
      <c r="E21" s="94" t="s">
        <v>142</v>
      </c>
      <c r="F21" s="94" t="s">
        <v>644</v>
      </c>
      <c r="G21" s="94" t="s">
        <v>36</v>
      </c>
      <c r="H21" s="94" t="s">
        <v>37</v>
      </c>
      <c r="I21" s="94" t="s">
        <v>38</v>
      </c>
      <c r="J21" s="94" t="s">
        <v>37</v>
      </c>
      <c r="K21" s="94" t="s">
        <v>261</v>
      </c>
      <c r="L21" s="69">
        <v>44658</v>
      </c>
      <c r="M21" s="69">
        <v>44659</v>
      </c>
      <c r="N21" s="70">
        <v>0</v>
      </c>
      <c r="O21" s="70">
        <v>0</v>
      </c>
      <c r="P21" s="70">
        <f t="shared" si="3"/>
        <v>0</v>
      </c>
      <c r="Q21" s="53">
        <v>2</v>
      </c>
      <c r="R21" s="70">
        <v>120</v>
      </c>
      <c r="S21" s="53">
        <v>0</v>
      </c>
      <c r="T21" s="70"/>
      <c r="U21" s="70">
        <f t="shared" si="0"/>
        <v>240</v>
      </c>
      <c r="V21" s="70">
        <f t="shared" si="4"/>
        <v>240</v>
      </c>
      <c r="W21" s="70">
        <f t="shared" si="5"/>
        <v>240</v>
      </c>
      <c r="X21" s="44"/>
    </row>
    <row r="22" spans="1:24" ht="15">
      <c r="A22" s="94" t="s">
        <v>253</v>
      </c>
      <c r="B22" s="94" t="s">
        <v>259</v>
      </c>
      <c r="C22" s="94" t="s">
        <v>185</v>
      </c>
      <c r="D22" s="47" t="s">
        <v>186</v>
      </c>
      <c r="E22" s="94" t="s">
        <v>385</v>
      </c>
      <c r="F22" s="94" t="s">
        <v>644</v>
      </c>
      <c r="G22" s="94" t="s">
        <v>36</v>
      </c>
      <c r="H22" s="94" t="s">
        <v>37</v>
      </c>
      <c r="I22" s="94" t="s">
        <v>38</v>
      </c>
      <c r="J22" s="94" t="s">
        <v>37</v>
      </c>
      <c r="K22" s="94" t="s">
        <v>261</v>
      </c>
      <c r="L22" s="69">
        <v>44658</v>
      </c>
      <c r="M22" s="69">
        <v>44659</v>
      </c>
      <c r="N22" s="70">
        <v>0</v>
      </c>
      <c r="O22" s="70">
        <v>0</v>
      </c>
      <c r="P22" s="70">
        <f t="shared" si="3"/>
        <v>0</v>
      </c>
      <c r="Q22" s="53">
        <v>2</v>
      </c>
      <c r="R22" s="70">
        <v>120</v>
      </c>
      <c r="S22" s="53">
        <v>0</v>
      </c>
      <c r="T22" s="70"/>
      <c r="U22" s="70">
        <f t="shared" si="0"/>
        <v>240</v>
      </c>
      <c r="V22" s="70">
        <f t="shared" si="4"/>
        <v>240</v>
      </c>
      <c r="W22" s="70">
        <f t="shared" si="5"/>
        <v>240</v>
      </c>
      <c r="X22" s="44"/>
    </row>
    <row r="23" spans="1:24" ht="15">
      <c r="A23" s="94" t="s">
        <v>253</v>
      </c>
      <c r="B23" s="94" t="s">
        <v>322</v>
      </c>
      <c r="C23" s="94" t="s">
        <v>327</v>
      </c>
      <c r="D23" s="47">
        <v>87</v>
      </c>
      <c r="E23" s="94" t="s">
        <v>651</v>
      </c>
      <c r="F23" s="94" t="s">
        <v>644</v>
      </c>
      <c r="G23" s="94" t="s">
        <v>36</v>
      </c>
      <c r="H23" s="94" t="s">
        <v>37</v>
      </c>
      <c r="I23" s="94" t="s">
        <v>38</v>
      </c>
      <c r="J23" s="94" t="s">
        <v>37</v>
      </c>
      <c r="K23" s="94" t="s">
        <v>261</v>
      </c>
      <c r="L23" s="69">
        <v>44658</v>
      </c>
      <c r="M23" s="69">
        <v>44659</v>
      </c>
      <c r="N23" s="70">
        <v>0</v>
      </c>
      <c r="O23" s="70">
        <v>0</v>
      </c>
      <c r="P23" s="70">
        <f t="shared" si="3"/>
        <v>0</v>
      </c>
      <c r="Q23" s="53">
        <v>2</v>
      </c>
      <c r="R23" s="70">
        <v>120</v>
      </c>
      <c r="S23" s="53">
        <v>0</v>
      </c>
      <c r="T23" s="70"/>
      <c r="U23" s="70">
        <f t="shared" si="0"/>
        <v>240</v>
      </c>
      <c r="V23" s="70">
        <f t="shared" si="4"/>
        <v>240</v>
      </c>
      <c r="W23" s="70">
        <f t="shared" si="5"/>
        <v>240</v>
      </c>
      <c r="X23" s="44"/>
    </row>
    <row r="24" spans="1:24" ht="15">
      <c r="A24" s="94" t="s">
        <v>371</v>
      </c>
      <c r="B24" s="94" t="s">
        <v>371</v>
      </c>
      <c r="C24" s="94" t="s">
        <v>137</v>
      </c>
      <c r="D24" s="47">
        <v>202</v>
      </c>
      <c r="E24" s="94" t="s">
        <v>78</v>
      </c>
      <c r="F24" s="94" t="s">
        <v>644</v>
      </c>
      <c r="G24" s="94" t="s">
        <v>36</v>
      </c>
      <c r="H24" s="94" t="s">
        <v>37</v>
      </c>
      <c r="I24" s="94" t="s">
        <v>38</v>
      </c>
      <c r="J24" s="94" t="s">
        <v>37</v>
      </c>
      <c r="K24" s="94" t="s">
        <v>261</v>
      </c>
      <c r="L24" s="69">
        <v>44658</v>
      </c>
      <c r="M24" s="69">
        <v>44659</v>
      </c>
      <c r="N24" s="70">
        <v>0</v>
      </c>
      <c r="O24" s="70">
        <v>0</v>
      </c>
      <c r="P24" s="70">
        <f t="shared" si="3"/>
        <v>0</v>
      </c>
      <c r="Q24" s="53">
        <v>2</v>
      </c>
      <c r="R24" s="70">
        <v>120</v>
      </c>
      <c r="S24" s="53">
        <v>0</v>
      </c>
      <c r="T24" s="70"/>
      <c r="U24" s="70">
        <f t="shared" si="0"/>
        <v>240</v>
      </c>
      <c r="V24" s="70">
        <f t="shared" si="4"/>
        <v>240</v>
      </c>
      <c r="W24" s="70">
        <f t="shared" si="5"/>
        <v>240</v>
      </c>
      <c r="X24" s="44"/>
    </row>
    <row r="25" spans="1:24" ht="15">
      <c r="A25" s="94" t="s">
        <v>253</v>
      </c>
      <c r="B25" s="94" t="s">
        <v>322</v>
      </c>
      <c r="C25" s="94" t="s">
        <v>323</v>
      </c>
      <c r="D25" s="47">
        <v>204</v>
      </c>
      <c r="E25" s="94" t="s">
        <v>652</v>
      </c>
      <c r="F25" s="94" t="s">
        <v>644</v>
      </c>
      <c r="G25" s="94" t="s">
        <v>36</v>
      </c>
      <c r="H25" s="94" t="s">
        <v>37</v>
      </c>
      <c r="I25" s="94" t="s">
        <v>38</v>
      </c>
      <c r="J25" s="94" t="s">
        <v>37</v>
      </c>
      <c r="K25" s="94" t="s">
        <v>261</v>
      </c>
      <c r="L25" s="69">
        <v>44658</v>
      </c>
      <c r="M25" s="69">
        <v>44659</v>
      </c>
      <c r="N25" s="70">
        <v>0</v>
      </c>
      <c r="O25" s="70">
        <v>0</v>
      </c>
      <c r="P25" s="70">
        <f t="shared" si="3"/>
        <v>0</v>
      </c>
      <c r="Q25" s="53">
        <v>2</v>
      </c>
      <c r="R25" s="70">
        <v>120</v>
      </c>
      <c r="S25" s="53">
        <v>0</v>
      </c>
      <c r="T25" s="70"/>
      <c r="U25" s="70">
        <f t="shared" si="0"/>
        <v>240</v>
      </c>
      <c r="V25" s="70">
        <f t="shared" si="4"/>
        <v>240</v>
      </c>
      <c r="W25" s="70">
        <f t="shared" si="5"/>
        <v>240</v>
      </c>
      <c r="X25" s="44"/>
    </row>
    <row r="26" spans="1:24" ht="15">
      <c r="A26" s="94" t="s">
        <v>253</v>
      </c>
      <c r="B26" s="94" t="s">
        <v>259</v>
      </c>
      <c r="C26" s="94" t="s">
        <v>433</v>
      </c>
      <c r="D26" s="47">
        <v>264</v>
      </c>
      <c r="E26" s="94" t="s">
        <v>611</v>
      </c>
      <c r="F26" s="94" t="s">
        <v>644</v>
      </c>
      <c r="G26" s="94" t="s">
        <v>36</v>
      </c>
      <c r="H26" s="94" t="s">
        <v>37</v>
      </c>
      <c r="I26" s="94" t="s">
        <v>38</v>
      </c>
      <c r="J26" s="94" t="s">
        <v>37</v>
      </c>
      <c r="K26" s="94" t="s">
        <v>261</v>
      </c>
      <c r="L26" s="69">
        <v>44658</v>
      </c>
      <c r="M26" s="69">
        <v>44659</v>
      </c>
      <c r="N26" s="70">
        <v>0</v>
      </c>
      <c r="O26" s="70">
        <v>0</v>
      </c>
      <c r="P26" s="70">
        <f t="shared" si="3"/>
        <v>0</v>
      </c>
      <c r="Q26" s="53">
        <v>2</v>
      </c>
      <c r="R26" s="70">
        <v>120</v>
      </c>
      <c r="S26" s="53">
        <v>0</v>
      </c>
      <c r="T26" s="70"/>
      <c r="U26" s="70">
        <f t="shared" si="0"/>
        <v>240</v>
      </c>
      <c r="V26" s="70">
        <f t="shared" si="4"/>
        <v>240</v>
      </c>
      <c r="W26" s="70">
        <f t="shared" si="5"/>
        <v>240</v>
      </c>
      <c r="X26" s="44"/>
    </row>
    <row r="27" spans="1:24" ht="15">
      <c r="A27" s="94" t="s">
        <v>231</v>
      </c>
      <c r="B27" s="94" t="s">
        <v>229</v>
      </c>
      <c r="C27" s="94" t="s">
        <v>653</v>
      </c>
      <c r="D27" s="47">
        <v>343</v>
      </c>
      <c r="E27" s="94" t="s">
        <v>645</v>
      </c>
      <c r="F27" s="94" t="s">
        <v>644</v>
      </c>
      <c r="G27" s="94" t="s">
        <v>36</v>
      </c>
      <c r="H27" s="94" t="s">
        <v>37</v>
      </c>
      <c r="I27" s="94" t="s">
        <v>38</v>
      </c>
      <c r="J27" s="94" t="s">
        <v>37</v>
      </c>
      <c r="K27" s="94" t="s">
        <v>261</v>
      </c>
      <c r="L27" s="69">
        <v>44658</v>
      </c>
      <c r="M27" s="69">
        <v>44659</v>
      </c>
      <c r="N27" s="70">
        <v>0</v>
      </c>
      <c r="O27" s="70">
        <v>0</v>
      </c>
      <c r="P27" s="70">
        <f t="shared" si="3"/>
        <v>0</v>
      </c>
      <c r="Q27" s="53">
        <v>2</v>
      </c>
      <c r="R27" s="70">
        <v>120</v>
      </c>
      <c r="S27" s="53">
        <v>0</v>
      </c>
      <c r="T27" s="70"/>
      <c r="U27" s="70">
        <f t="shared" si="0"/>
        <v>240</v>
      </c>
      <c r="V27" s="70">
        <f t="shared" si="4"/>
        <v>240</v>
      </c>
      <c r="W27" s="70">
        <f t="shared" si="5"/>
        <v>240</v>
      </c>
      <c r="X27" s="44"/>
    </row>
    <row r="28" spans="1:24" ht="15">
      <c r="A28" s="94" t="s">
        <v>231</v>
      </c>
      <c r="B28" s="94" t="s">
        <v>305</v>
      </c>
      <c r="C28" s="94" t="s">
        <v>615</v>
      </c>
      <c r="D28" s="47">
        <v>366</v>
      </c>
      <c r="E28" s="94" t="s">
        <v>616</v>
      </c>
      <c r="F28" s="94" t="s">
        <v>644</v>
      </c>
      <c r="G28" s="94" t="s">
        <v>36</v>
      </c>
      <c r="H28" s="94" t="s">
        <v>37</v>
      </c>
      <c r="I28" s="94" t="s">
        <v>38</v>
      </c>
      <c r="J28" s="94" t="s">
        <v>37</v>
      </c>
      <c r="K28" s="94" t="s">
        <v>261</v>
      </c>
      <c r="L28" s="69">
        <v>44658</v>
      </c>
      <c r="M28" s="69">
        <v>44659</v>
      </c>
      <c r="N28" s="70">
        <v>0</v>
      </c>
      <c r="O28" s="70">
        <v>0</v>
      </c>
      <c r="P28" s="70">
        <f t="shared" si="3"/>
        <v>0</v>
      </c>
      <c r="Q28" s="53">
        <v>2</v>
      </c>
      <c r="R28" s="70">
        <v>120</v>
      </c>
      <c r="S28" s="53">
        <v>0</v>
      </c>
      <c r="T28" s="70"/>
      <c r="U28" s="70">
        <f t="shared" si="0"/>
        <v>240</v>
      </c>
      <c r="V28" s="70">
        <f t="shared" si="4"/>
        <v>240</v>
      </c>
      <c r="W28" s="70">
        <f t="shared" si="5"/>
        <v>240</v>
      </c>
      <c r="X28" s="44"/>
    </row>
    <row r="29" spans="1:24" ht="15">
      <c r="A29" s="94" t="s">
        <v>253</v>
      </c>
      <c r="B29" s="94" t="s">
        <v>234</v>
      </c>
      <c r="C29" s="94" t="s">
        <v>620</v>
      </c>
      <c r="D29" s="47">
        <v>365</v>
      </c>
      <c r="E29" s="94" t="s">
        <v>239</v>
      </c>
      <c r="F29" s="94" t="s">
        <v>644</v>
      </c>
      <c r="G29" s="94" t="s">
        <v>36</v>
      </c>
      <c r="H29" s="94" t="s">
        <v>37</v>
      </c>
      <c r="I29" s="94" t="s">
        <v>38</v>
      </c>
      <c r="J29" s="94" t="s">
        <v>37</v>
      </c>
      <c r="K29" s="94" t="s">
        <v>261</v>
      </c>
      <c r="L29" s="69">
        <v>44658</v>
      </c>
      <c r="M29" s="69">
        <v>44659</v>
      </c>
      <c r="N29" s="70">
        <v>0</v>
      </c>
      <c r="O29" s="70">
        <v>0</v>
      </c>
      <c r="P29" s="70">
        <f t="shared" si="3"/>
        <v>0</v>
      </c>
      <c r="Q29" s="53">
        <v>2</v>
      </c>
      <c r="R29" s="70">
        <v>120</v>
      </c>
      <c r="S29" s="53">
        <v>0</v>
      </c>
      <c r="T29" s="70"/>
      <c r="U29" s="70">
        <f t="shared" si="0"/>
        <v>240</v>
      </c>
      <c r="V29" s="70">
        <f t="shared" si="4"/>
        <v>240</v>
      </c>
      <c r="W29" s="70">
        <f t="shared" si="5"/>
        <v>240</v>
      </c>
      <c r="X29" s="44"/>
    </row>
  </sheetData>
  <sortState xmlns:xlrd2="http://schemas.microsoft.com/office/spreadsheetml/2017/richdata2" ref="C9:C30">
    <sortCondition ref="C8"/>
  </sortState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X11"/>
  <sheetViews>
    <sheetView workbookViewId="0">
      <selection activeCell="D7" sqref="D7:E7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6" t="s">
        <v>1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</row>
    <row r="2" spans="1:24" ht="15">
      <c r="A2" s="96" t="s">
        <v>2</v>
      </c>
      <c r="B2" s="96"/>
      <c r="C2" s="96" t="s">
        <v>3</v>
      </c>
      <c r="D2" s="96"/>
      <c r="E2" s="96"/>
      <c r="F2" s="96" t="s">
        <v>4</v>
      </c>
      <c r="G2" s="96"/>
      <c r="H2" s="96"/>
      <c r="I2" s="96"/>
      <c r="J2" s="96"/>
      <c r="K2" s="96"/>
      <c r="L2" s="96"/>
      <c r="M2" s="96"/>
      <c r="N2" s="96" t="s">
        <v>5</v>
      </c>
      <c r="O2" s="96"/>
      <c r="P2" s="96"/>
      <c r="Q2" s="96" t="s">
        <v>6</v>
      </c>
      <c r="R2" s="96"/>
      <c r="S2" s="96"/>
      <c r="T2" s="96"/>
      <c r="U2" s="96"/>
      <c r="V2" s="96"/>
      <c r="W2" s="96" t="s">
        <v>7</v>
      </c>
      <c r="X2" s="149" t="s">
        <v>8</v>
      </c>
    </row>
    <row r="3" spans="1:24" ht="15">
      <c r="A3" s="97" t="s">
        <v>9</v>
      </c>
      <c r="B3" s="97" t="s">
        <v>10</v>
      </c>
      <c r="C3" s="97" t="s">
        <v>11</v>
      </c>
      <c r="D3" s="97" t="s">
        <v>12</v>
      </c>
      <c r="E3" s="97" t="s">
        <v>13</v>
      </c>
      <c r="F3" s="97" t="s">
        <v>14</v>
      </c>
      <c r="G3" s="97" t="s">
        <v>15</v>
      </c>
      <c r="H3" s="97" t="s">
        <v>16</v>
      </c>
      <c r="I3" s="97"/>
      <c r="J3" s="98" t="s">
        <v>17</v>
      </c>
      <c r="K3" s="98"/>
      <c r="L3" s="97" t="s">
        <v>18</v>
      </c>
      <c r="M3" s="97" t="s">
        <v>19</v>
      </c>
      <c r="N3" s="98" t="s">
        <v>20</v>
      </c>
      <c r="O3" s="98" t="s">
        <v>21</v>
      </c>
      <c r="P3" s="98" t="s">
        <v>22</v>
      </c>
      <c r="Q3" s="98" t="s">
        <v>23</v>
      </c>
      <c r="R3" s="98"/>
      <c r="S3" s="98" t="s">
        <v>24</v>
      </c>
      <c r="T3" s="98"/>
      <c r="U3" s="97" t="s">
        <v>25</v>
      </c>
      <c r="V3" s="98" t="s">
        <v>22</v>
      </c>
      <c r="W3" s="96"/>
      <c r="X3" s="149"/>
    </row>
    <row r="4" spans="1:24" ht="15">
      <c r="A4" s="151"/>
      <c r="B4" s="151"/>
      <c r="C4" s="151"/>
      <c r="D4" s="151"/>
      <c r="E4" s="151"/>
      <c r="F4" s="151"/>
      <c r="G4" s="151"/>
      <c r="H4" s="10" t="s">
        <v>26</v>
      </c>
      <c r="I4" s="10" t="s">
        <v>27</v>
      </c>
      <c r="J4" s="10" t="s">
        <v>26</v>
      </c>
      <c r="K4" s="11" t="s">
        <v>28</v>
      </c>
      <c r="L4" s="151"/>
      <c r="M4" s="151"/>
      <c r="N4" s="152"/>
      <c r="O4" s="152"/>
      <c r="P4" s="152"/>
      <c r="Q4" s="10" t="s">
        <v>29</v>
      </c>
      <c r="R4" s="11" t="s">
        <v>30</v>
      </c>
      <c r="S4" s="10" t="s">
        <v>29</v>
      </c>
      <c r="T4" s="11" t="s">
        <v>30</v>
      </c>
      <c r="U4" s="151"/>
      <c r="V4" s="152"/>
      <c r="W4" s="153"/>
      <c r="X4" s="150"/>
    </row>
    <row r="5" spans="1:24" ht="15">
      <c r="A5" s="94" t="s">
        <v>253</v>
      </c>
      <c r="B5" s="94" t="s">
        <v>253</v>
      </c>
      <c r="C5" s="94" t="s">
        <v>320</v>
      </c>
      <c r="D5" s="47" t="s">
        <v>629</v>
      </c>
      <c r="E5" s="94" t="s">
        <v>78</v>
      </c>
      <c r="F5" s="94" t="s">
        <v>654</v>
      </c>
      <c r="G5" s="94" t="s">
        <v>36</v>
      </c>
      <c r="H5" s="94" t="s">
        <v>37</v>
      </c>
      <c r="I5" s="94" t="s">
        <v>38</v>
      </c>
      <c r="J5" s="94" t="s">
        <v>127</v>
      </c>
      <c r="K5" s="94" t="s">
        <v>63</v>
      </c>
      <c r="L5" s="69">
        <v>44692</v>
      </c>
      <c r="M5" s="69">
        <v>44692</v>
      </c>
      <c r="N5" s="89">
        <v>1254.69</v>
      </c>
      <c r="O5" s="89">
        <v>2229.5500000000002</v>
      </c>
      <c r="P5" s="70">
        <f>SUM(N5:O5)</f>
        <v>3484.2400000000002</v>
      </c>
      <c r="Q5" s="53">
        <v>1</v>
      </c>
      <c r="R5" s="70">
        <v>120</v>
      </c>
      <c r="S5" s="53">
        <v>0</v>
      </c>
      <c r="T5" s="70">
        <v>0</v>
      </c>
      <c r="U5" s="70">
        <f t="shared" ref="U5:U11" si="0">(Q5*R5)+(S5*T5)</f>
        <v>120</v>
      </c>
      <c r="V5" s="70">
        <f t="shared" ref="V5:V11" si="1">U5+P5</f>
        <v>3604.2400000000002</v>
      </c>
      <c r="W5" s="70">
        <f t="shared" ref="W5:W11" si="2">V5</f>
        <v>3604.2400000000002</v>
      </c>
      <c r="X5" s="53"/>
    </row>
    <row r="6" spans="1:24" ht="30">
      <c r="A6" s="94" t="s">
        <v>595</v>
      </c>
      <c r="B6" s="94" t="s">
        <v>305</v>
      </c>
      <c r="C6" s="94" t="s">
        <v>612</v>
      </c>
      <c r="D6" s="47">
        <v>355</v>
      </c>
      <c r="E6" s="94" t="s">
        <v>308</v>
      </c>
      <c r="F6" s="163" t="s">
        <v>655</v>
      </c>
      <c r="G6" s="94" t="s">
        <v>36</v>
      </c>
      <c r="H6" s="94" t="s">
        <v>37</v>
      </c>
      <c r="I6" s="94" t="s">
        <v>38</v>
      </c>
      <c r="J6" s="94" t="s">
        <v>127</v>
      </c>
      <c r="K6" s="94" t="s">
        <v>63</v>
      </c>
      <c r="L6" s="69">
        <v>44692</v>
      </c>
      <c r="M6" s="69">
        <v>44696</v>
      </c>
      <c r="N6" s="70">
        <f>1500/2</f>
        <v>750</v>
      </c>
      <c r="O6" s="70">
        <f>1500/2</f>
        <v>750</v>
      </c>
      <c r="P6" s="70">
        <f>SUM(N6:O6)</f>
        <v>1500</v>
      </c>
      <c r="Q6" s="53">
        <v>3</v>
      </c>
      <c r="R6" s="70">
        <v>120</v>
      </c>
      <c r="S6" s="53">
        <v>0</v>
      </c>
      <c r="T6" s="70">
        <v>0</v>
      </c>
      <c r="U6" s="70">
        <f t="shared" si="0"/>
        <v>360</v>
      </c>
      <c r="V6" s="70">
        <f t="shared" si="1"/>
        <v>1860</v>
      </c>
      <c r="W6" s="70">
        <f t="shared" si="2"/>
        <v>1860</v>
      </c>
      <c r="X6" s="53"/>
    </row>
    <row r="7" spans="1:24" ht="15">
      <c r="A7" s="94" t="s">
        <v>253</v>
      </c>
      <c r="B7" s="94" t="s">
        <v>212</v>
      </c>
      <c r="C7" s="94" t="s">
        <v>270</v>
      </c>
      <c r="D7" s="47" t="s">
        <v>168</v>
      </c>
      <c r="E7" s="94" t="s">
        <v>599</v>
      </c>
      <c r="F7" s="94" t="s">
        <v>656</v>
      </c>
      <c r="G7" s="94" t="s">
        <v>36</v>
      </c>
      <c r="H7" s="94" t="s">
        <v>37</v>
      </c>
      <c r="I7" s="94" t="s">
        <v>38</v>
      </c>
      <c r="J7" s="94" t="s">
        <v>37</v>
      </c>
      <c r="K7" s="94" t="s">
        <v>391</v>
      </c>
      <c r="L7" s="69">
        <v>44706</v>
      </c>
      <c r="M7" s="69">
        <v>44707</v>
      </c>
      <c r="N7" s="70">
        <v>2980.9</v>
      </c>
      <c r="O7" s="70">
        <v>1405</v>
      </c>
      <c r="P7" s="70">
        <f t="shared" ref="P7:P11" si="3">SUM(N7:O7)</f>
        <v>4385.8999999999996</v>
      </c>
      <c r="Q7" s="53">
        <v>2</v>
      </c>
      <c r="R7" s="70">
        <v>120</v>
      </c>
      <c r="S7" s="53">
        <v>0</v>
      </c>
      <c r="T7" s="70">
        <v>0</v>
      </c>
      <c r="U7" s="70">
        <f t="shared" si="0"/>
        <v>240</v>
      </c>
      <c r="V7" s="70">
        <f t="shared" si="1"/>
        <v>4625.8999999999996</v>
      </c>
      <c r="W7" s="70">
        <f t="shared" si="2"/>
        <v>4625.8999999999996</v>
      </c>
      <c r="X7" s="53"/>
    </row>
    <row r="8" spans="1:24" ht="15">
      <c r="A8" s="94" t="s">
        <v>231</v>
      </c>
      <c r="B8" s="94" t="s">
        <v>221</v>
      </c>
      <c r="C8" s="94" t="s">
        <v>54</v>
      </c>
      <c r="D8" s="47">
        <v>56</v>
      </c>
      <c r="E8" s="94" t="s">
        <v>610</v>
      </c>
      <c r="F8" s="94" t="s">
        <v>657</v>
      </c>
      <c r="G8" s="94" t="s">
        <v>36</v>
      </c>
      <c r="H8" s="94" t="s">
        <v>37</v>
      </c>
      <c r="I8" s="94" t="s">
        <v>38</v>
      </c>
      <c r="J8" s="94" t="s">
        <v>127</v>
      </c>
      <c r="K8" s="94" t="s">
        <v>63</v>
      </c>
      <c r="L8" s="69">
        <v>44692</v>
      </c>
      <c r="M8" s="69">
        <v>44694</v>
      </c>
      <c r="N8" s="70">
        <f>900/2</f>
        <v>450</v>
      </c>
      <c r="O8" s="70">
        <f>900/2</f>
        <v>450</v>
      </c>
      <c r="P8" s="70">
        <f t="shared" si="3"/>
        <v>900</v>
      </c>
      <c r="Q8" s="53">
        <v>3</v>
      </c>
      <c r="R8" s="70">
        <v>120</v>
      </c>
      <c r="S8" s="53">
        <v>0</v>
      </c>
      <c r="T8" s="70">
        <v>0</v>
      </c>
      <c r="U8" s="70">
        <f t="shared" si="0"/>
        <v>360</v>
      </c>
      <c r="V8" s="70">
        <f t="shared" si="1"/>
        <v>1260</v>
      </c>
      <c r="W8" s="70">
        <f t="shared" si="2"/>
        <v>1260</v>
      </c>
      <c r="X8" s="44"/>
    </row>
    <row r="9" spans="1:24" ht="15">
      <c r="A9" s="94" t="s">
        <v>253</v>
      </c>
      <c r="B9" s="94" t="s">
        <v>322</v>
      </c>
      <c r="C9" s="94" t="s">
        <v>327</v>
      </c>
      <c r="D9" s="47">
        <v>87</v>
      </c>
      <c r="E9" s="94" t="s">
        <v>651</v>
      </c>
      <c r="F9" s="94" t="s">
        <v>654</v>
      </c>
      <c r="G9" s="94" t="s">
        <v>36</v>
      </c>
      <c r="H9" s="94" t="s">
        <v>37</v>
      </c>
      <c r="I9" s="94" t="s">
        <v>38</v>
      </c>
      <c r="J9" s="94" t="s">
        <v>37</v>
      </c>
      <c r="K9" s="94" t="s">
        <v>261</v>
      </c>
      <c r="L9" s="69">
        <v>44692</v>
      </c>
      <c r="M9" s="69">
        <v>44692</v>
      </c>
      <c r="N9" s="70">
        <v>1254.69</v>
      </c>
      <c r="O9" s="70">
        <v>2229.5500000000002</v>
      </c>
      <c r="P9" s="70">
        <f t="shared" si="3"/>
        <v>3484.2400000000002</v>
      </c>
      <c r="Q9" s="53">
        <v>2</v>
      </c>
      <c r="R9" s="70">
        <v>240</v>
      </c>
      <c r="S9" s="53">
        <v>0</v>
      </c>
      <c r="T9" s="70">
        <v>0</v>
      </c>
      <c r="U9" s="70">
        <f t="shared" si="0"/>
        <v>480</v>
      </c>
      <c r="V9" s="70">
        <f t="shared" si="1"/>
        <v>3964.2400000000002</v>
      </c>
      <c r="W9" s="70">
        <f t="shared" si="2"/>
        <v>3964.2400000000002</v>
      </c>
      <c r="X9" s="44"/>
    </row>
    <row r="10" spans="1:24" ht="30">
      <c r="A10" s="94" t="s">
        <v>231</v>
      </c>
      <c r="B10" s="94" t="s">
        <v>231</v>
      </c>
      <c r="C10" s="94" t="s">
        <v>412</v>
      </c>
      <c r="D10" s="47">
        <v>0</v>
      </c>
      <c r="E10" s="94" t="s">
        <v>562</v>
      </c>
      <c r="F10" s="163" t="s">
        <v>655</v>
      </c>
      <c r="G10" s="94" t="s">
        <v>36</v>
      </c>
      <c r="H10" s="94" t="s">
        <v>37</v>
      </c>
      <c r="I10" s="94" t="s">
        <v>38</v>
      </c>
      <c r="J10" s="94" t="s">
        <v>127</v>
      </c>
      <c r="K10" s="94" t="s">
        <v>63</v>
      </c>
      <c r="L10" s="69">
        <v>44692</v>
      </c>
      <c r="M10" s="69">
        <v>44696</v>
      </c>
      <c r="N10" s="70">
        <v>3241.6</v>
      </c>
      <c r="O10" s="70">
        <v>1879.42</v>
      </c>
      <c r="P10" s="70">
        <f t="shared" si="3"/>
        <v>5121.0200000000004</v>
      </c>
      <c r="Q10" s="53">
        <v>0</v>
      </c>
      <c r="R10" s="70">
        <v>0</v>
      </c>
      <c r="S10" s="53">
        <v>0</v>
      </c>
      <c r="T10" s="70">
        <v>0</v>
      </c>
      <c r="U10" s="70">
        <f t="shared" si="0"/>
        <v>0</v>
      </c>
      <c r="V10" s="70">
        <f t="shared" si="1"/>
        <v>5121.0200000000004</v>
      </c>
      <c r="W10" s="70">
        <f t="shared" si="2"/>
        <v>5121.0200000000004</v>
      </c>
      <c r="X10" s="44"/>
    </row>
    <row r="11" spans="1:24" ht="30">
      <c r="A11" s="94" t="s">
        <v>231</v>
      </c>
      <c r="B11" s="94" t="s">
        <v>658</v>
      </c>
      <c r="C11" s="94" t="s">
        <v>451</v>
      </c>
      <c r="D11" s="47">
        <v>0</v>
      </c>
      <c r="E11" s="94"/>
      <c r="F11" s="163" t="s">
        <v>655</v>
      </c>
      <c r="G11" s="94" t="s">
        <v>36</v>
      </c>
      <c r="H11" s="94" t="s">
        <v>37</v>
      </c>
      <c r="I11" s="94" t="s">
        <v>38</v>
      </c>
      <c r="J11" s="94" t="s">
        <v>127</v>
      </c>
      <c r="K11" s="94" t="s">
        <v>63</v>
      </c>
      <c r="L11" s="69">
        <v>44692</v>
      </c>
      <c r="M11" s="69">
        <v>44696</v>
      </c>
      <c r="N11" s="70">
        <v>3241.6</v>
      </c>
      <c r="O11" s="70">
        <v>1879.42</v>
      </c>
      <c r="P11" s="70">
        <f t="shared" si="3"/>
        <v>5121.0200000000004</v>
      </c>
      <c r="Q11" s="53">
        <v>0</v>
      </c>
      <c r="R11" s="70">
        <v>0</v>
      </c>
      <c r="S11" s="53">
        <v>0</v>
      </c>
      <c r="T11" s="70">
        <v>0</v>
      </c>
      <c r="U11" s="70">
        <f t="shared" si="0"/>
        <v>0</v>
      </c>
      <c r="V11" s="70">
        <f t="shared" si="1"/>
        <v>5121.0200000000004</v>
      </c>
      <c r="W11" s="70">
        <f t="shared" si="2"/>
        <v>5121.0200000000004</v>
      </c>
      <c r="X11" s="44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X6"/>
  <sheetViews>
    <sheetView topLeftCell="B1" workbookViewId="0">
      <selection activeCell="D5" sqref="D5:E5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6" t="s">
        <v>1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</row>
    <row r="2" spans="1:24" ht="15">
      <c r="A2" s="96" t="s">
        <v>2</v>
      </c>
      <c r="B2" s="96"/>
      <c r="C2" s="96" t="s">
        <v>3</v>
      </c>
      <c r="D2" s="96"/>
      <c r="E2" s="96"/>
      <c r="F2" s="96" t="s">
        <v>4</v>
      </c>
      <c r="G2" s="96"/>
      <c r="H2" s="96"/>
      <c r="I2" s="96"/>
      <c r="J2" s="96"/>
      <c r="K2" s="96"/>
      <c r="L2" s="96"/>
      <c r="M2" s="96"/>
      <c r="N2" s="96" t="s">
        <v>5</v>
      </c>
      <c r="O2" s="96"/>
      <c r="P2" s="96"/>
      <c r="Q2" s="96" t="s">
        <v>6</v>
      </c>
      <c r="R2" s="96"/>
      <c r="S2" s="96"/>
      <c r="T2" s="96"/>
      <c r="U2" s="96"/>
      <c r="V2" s="96"/>
      <c r="W2" s="96" t="s">
        <v>7</v>
      </c>
      <c r="X2" s="149" t="s">
        <v>8</v>
      </c>
    </row>
    <row r="3" spans="1:24" ht="15">
      <c r="A3" s="97" t="s">
        <v>9</v>
      </c>
      <c r="B3" s="97" t="s">
        <v>10</v>
      </c>
      <c r="C3" s="97" t="s">
        <v>11</v>
      </c>
      <c r="D3" s="97" t="s">
        <v>12</v>
      </c>
      <c r="E3" s="97" t="s">
        <v>13</v>
      </c>
      <c r="F3" s="97" t="s">
        <v>14</v>
      </c>
      <c r="G3" s="97" t="s">
        <v>15</v>
      </c>
      <c r="H3" s="97" t="s">
        <v>16</v>
      </c>
      <c r="I3" s="97"/>
      <c r="J3" s="98" t="s">
        <v>17</v>
      </c>
      <c r="K3" s="98"/>
      <c r="L3" s="97" t="s">
        <v>18</v>
      </c>
      <c r="M3" s="97" t="s">
        <v>19</v>
      </c>
      <c r="N3" s="98" t="s">
        <v>20</v>
      </c>
      <c r="O3" s="98" t="s">
        <v>21</v>
      </c>
      <c r="P3" s="98" t="s">
        <v>22</v>
      </c>
      <c r="Q3" s="98" t="s">
        <v>23</v>
      </c>
      <c r="R3" s="98"/>
      <c r="S3" s="98" t="s">
        <v>24</v>
      </c>
      <c r="T3" s="98"/>
      <c r="U3" s="97" t="s">
        <v>25</v>
      </c>
      <c r="V3" s="98" t="s">
        <v>22</v>
      </c>
      <c r="W3" s="96"/>
      <c r="X3" s="149"/>
    </row>
    <row r="4" spans="1:24" ht="15">
      <c r="A4" s="151"/>
      <c r="B4" s="151"/>
      <c r="C4" s="151"/>
      <c r="D4" s="151"/>
      <c r="E4" s="151"/>
      <c r="F4" s="151"/>
      <c r="G4" s="151"/>
      <c r="H4" s="10" t="s">
        <v>26</v>
      </c>
      <c r="I4" s="10" t="s">
        <v>27</v>
      </c>
      <c r="J4" s="10" t="s">
        <v>26</v>
      </c>
      <c r="K4" s="11" t="s">
        <v>28</v>
      </c>
      <c r="L4" s="151"/>
      <c r="M4" s="151"/>
      <c r="N4" s="152"/>
      <c r="O4" s="152"/>
      <c r="P4" s="152"/>
      <c r="Q4" s="10" t="s">
        <v>29</v>
      </c>
      <c r="R4" s="11" t="s">
        <v>30</v>
      </c>
      <c r="S4" s="10" t="s">
        <v>29</v>
      </c>
      <c r="T4" s="11" t="s">
        <v>30</v>
      </c>
      <c r="U4" s="151"/>
      <c r="V4" s="152"/>
      <c r="W4" s="153"/>
      <c r="X4" s="150"/>
    </row>
    <row r="5" spans="1:24" ht="15">
      <c r="A5" s="94" t="s">
        <v>253</v>
      </c>
      <c r="B5" s="94" t="s">
        <v>322</v>
      </c>
      <c r="C5" s="94" t="s">
        <v>327</v>
      </c>
      <c r="D5" s="47">
        <v>87</v>
      </c>
      <c r="E5" s="94" t="s">
        <v>651</v>
      </c>
      <c r="F5" s="94" t="s">
        <v>659</v>
      </c>
      <c r="G5" s="94" t="s">
        <v>36</v>
      </c>
      <c r="H5" s="94" t="s">
        <v>37</v>
      </c>
      <c r="I5" s="94" t="s">
        <v>38</v>
      </c>
      <c r="J5" s="94" t="s">
        <v>127</v>
      </c>
      <c r="K5" s="94" t="s">
        <v>63</v>
      </c>
      <c r="L5" s="69">
        <v>44741</v>
      </c>
      <c r="M5" s="69">
        <v>44742</v>
      </c>
      <c r="N5" s="70">
        <f>1623.42/2</f>
        <v>811.71</v>
      </c>
      <c r="O5" s="70">
        <f>1623.42/2</f>
        <v>811.71</v>
      </c>
      <c r="P5" s="70">
        <f>SUM(N5:O5)</f>
        <v>1623.42</v>
      </c>
      <c r="Q5" s="53">
        <v>2</v>
      </c>
      <c r="R5" s="70">
        <v>120</v>
      </c>
      <c r="S5" s="53">
        <v>0</v>
      </c>
      <c r="T5" s="70">
        <v>0</v>
      </c>
      <c r="U5" s="70">
        <f t="shared" ref="U5:U6" si="0">(Q5*R5)+(S5*T5)</f>
        <v>240</v>
      </c>
      <c r="V5" s="70">
        <f t="shared" ref="V5:V6" si="1">U5+P5</f>
        <v>1863.42</v>
      </c>
      <c r="W5" s="70">
        <f t="shared" ref="W5:W6" si="2">V5</f>
        <v>1863.42</v>
      </c>
      <c r="X5" s="53"/>
    </row>
    <row r="6" spans="1:24" ht="15">
      <c r="A6" s="94" t="s">
        <v>253</v>
      </c>
      <c r="B6" s="94" t="s">
        <v>253</v>
      </c>
      <c r="C6" s="94" t="s">
        <v>320</v>
      </c>
      <c r="D6" s="47" t="s">
        <v>629</v>
      </c>
      <c r="E6" s="94" t="s">
        <v>78</v>
      </c>
      <c r="F6" s="163" t="s">
        <v>660</v>
      </c>
      <c r="G6" s="94" t="s">
        <v>36</v>
      </c>
      <c r="H6" s="94" t="s">
        <v>37</v>
      </c>
      <c r="I6" s="94" t="s">
        <v>38</v>
      </c>
      <c r="J6" s="94" t="s">
        <v>661</v>
      </c>
      <c r="K6" s="94" t="s">
        <v>662</v>
      </c>
      <c r="L6" s="69">
        <v>44741</v>
      </c>
      <c r="M6" s="69">
        <v>44743</v>
      </c>
      <c r="N6" s="70">
        <f>1881.08/2</f>
        <v>940.54</v>
      </c>
      <c r="O6" s="70">
        <f>1881.08/2</f>
        <v>940.54</v>
      </c>
      <c r="P6" s="70">
        <f>SUM(N6:O6)</f>
        <v>1881.08</v>
      </c>
      <c r="Q6" s="53">
        <v>3</v>
      </c>
      <c r="R6" s="70">
        <v>120</v>
      </c>
      <c r="S6" s="53">
        <v>0</v>
      </c>
      <c r="T6" s="70">
        <v>0</v>
      </c>
      <c r="U6" s="70">
        <f t="shared" si="0"/>
        <v>360</v>
      </c>
      <c r="V6" s="70">
        <f t="shared" si="1"/>
        <v>2241.08</v>
      </c>
      <c r="W6" s="70">
        <f t="shared" si="2"/>
        <v>2241.08</v>
      </c>
      <c r="X6" s="5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X5"/>
  <sheetViews>
    <sheetView topLeftCell="B1" workbookViewId="0">
      <selection activeCell="B5" sqref="A5:XFD5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6" t="s">
        <v>1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</row>
    <row r="2" spans="1:24" ht="15">
      <c r="A2" s="96" t="s">
        <v>2</v>
      </c>
      <c r="B2" s="96"/>
      <c r="C2" s="96" t="s">
        <v>3</v>
      </c>
      <c r="D2" s="96"/>
      <c r="E2" s="96"/>
      <c r="F2" s="96" t="s">
        <v>4</v>
      </c>
      <c r="G2" s="96"/>
      <c r="H2" s="96"/>
      <c r="I2" s="96"/>
      <c r="J2" s="96"/>
      <c r="K2" s="96"/>
      <c r="L2" s="96"/>
      <c r="M2" s="96"/>
      <c r="N2" s="96" t="s">
        <v>5</v>
      </c>
      <c r="O2" s="96"/>
      <c r="P2" s="96"/>
      <c r="Q2" s="96" t="s">
        <v>6</v>
      </c>
      <c r="R2" s="96"/>
      <c r="S2" s="96"/>
      <c r="T2" s="96"/>
      <c r="U2" s="96"/>
      <c r="V2" s="96"/>
      <c r="W2" s="96" t="s">
        <v>7</v>
      </c>
      <c r="X2" s="149" t="s">
        <v>8</v>
      </c>
    </row>
    <row r="3" spans="1:24" ht="15">
      <c r="A3" s="97" t="s">
        <v>9</v>
      </c>
      <c r="B3" s="97" t="s">
        <v>10</v>
      </c>
      <c r="C3" s="97" t="s">
        <v>11</v>
      </c>
      <c r="D3" s="97" t="s">
        <v>12</v>
      </c>
      <c r="E3" s="97" t="s">
        <v>13</v>
      </c>
      <c r="F3" s="97" t="s">
        <v>14</v>
      </c>
      <c r="G3" s="97" t="s">
        <v>15</v>
      </c>
      <c r="H3" s="97" t="s">
        <v>16</v>
      </c>
      <c r="I3" s="97"/>
      <c r="J3" s="98" t="s">
        <v>17</v>
      </c>
      <c r="K3" s="98"/>
      <c r="L3" s="97" t="s">
        <v>18</v>
      </c>
      <c r="M3" s="97" t="s">
        <v>19</v>
      </c>
      <c r="N3" s="98" t="s">
        <v>20</v>
      </c>
      <c r="O3" s="98" t="s">
        <v>21</v>
      </c>
      <c r="P3" s="98" t="s">
        <v>22</v>
      </c>
      <c r="Q3" s="98" t="s">
        <v>23</v>
      </c>
      <c r="R3" s="98"/>
      <c r="S3" s="98" t="s">
        <v>24</v>
      </c>
      <c r="T3" s="98"/>
      <c r="U3" s="97" t="s">
        <v>25</v>
      </c>
      <c r="V3" s="98" t="s">
        <v>22</v>
      </c>
      <c r="W3" s="96"/>
      <c r="X3" s="149"/>
    </row>
    <row r="4" spans="1:24" ht="15">
      <c r="A4" s="151"/>
      <c r="B4" s="151"/>
      <c r="C4" s="151"/>
      <c r="D4" s="151"/>
      <c r="E4" s="151"/>
      <c r="F4" s="151"/>
      <c r="G4" s="151"/>
      <c r="H4" s="10" t="s">
        <v>26</v>
      </c>
      <c r="I4" s="10" t="s">
        <v>27</v>
      </c>
      <c r="J4" s="10" t="s">
        <v>26</v>
      </c>
      <c r="K4" s="11" t="s">
        <v>28</v>
      </c>
      <c r="L4" s="151"/>
      <c r="M4" s="151"/>
      <c r="N4" s="152"/>
      <c r="O4" s="152"/>
      <c r="P4" s="152"/>
      <c r="Q4" s="10" t="s">
        <v>29</v>
      </c>
      <c r="R4" s="11" t="s">
        <v>30</v>
      </c>
      <c r="S4" s="10" t="s">
        <v>29</v>
      </c>
      <c r="T4" s="11" t="s">
        <v>30</v>
      </c>
      <c r="U4" s="151"/>
      <c r="V4" s="152"/>
      <c r="W4" s="153"/>
      <c r="X4" s="150"/>
    </row>
    <row r="5" spans="1:24" s="92" customFormat="1" ht="15">
      <c r="A5" s="94" t="s">
        <v>231</v>
      </c>
      <c r="B5" s="94" t="s">
        <v>221</v>
      </c>
      <c r="C5" s="94" t="s">
        <v>277</v>
      </c>
      <c r="D5" s="77">
        <v>157</v>
      </c>
      <c r="E5" s="77" t="s">
        <v>663</v>
      </c>
      <c r="F5" s="77" t="s">
        <v>664</v>
      </c>
      <c r="G5" s="94" t="s">
        <v>36</v>
      </c>
      <c r="H5" s="94" t="s">
        <v>37</v>
      </c>
      <c r="I5" s="94" t="s">
        <v>38</v>
      </c>
      <c r="J5" s="94" t="s">
        <v>373</v>
      </c>
      <c r="K5" s="94" t="s">
        <v>374</v>
      </c>
      <c r="L5" s="90">
        <v>44770</v>
      </c>
      <c r="M5" s="90">
        <v>44771</v>
      </c>
      <c r="N5" s="77">
        <f>1417.14/2</f>
        <v>708.57</v>
      </c>
      <c r="O5" s="77">
        <f>1417.14/2</f>
        <v>708.57</v>
      </c>
      <c r="P5" s="70">
        <f>SUM(N5:O5)</f>
        <v>1417.14</v>
      </c>
      <c r="Q5" s="77">
        <v>4</v>
      </c>
      <c r="R5" s="91">
        <v>120</v>
      </c>
      <c r="S5" s="77">
        <v>0</v>
      </c>
      <c r="T5" s="91">
        <v>0</v>
      </c>
      <c r="U5" s="70">
        <f t="shared" ref="U5" si="0">(Q5*R5)+(S5*T5)</f>
        <v>480</v>
      </c>
      <c r="V5" s="70">
        <f>U5+P5</f>
        <v>1897.14</v>
      </c>
      <c r="W5" s="70">
        <f>V5</f>
        <v>1897.14</v>
      </c>
      <c r="X5" s="77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X12"/>
  <sheetViews>
    <sheetView workbookViewId="0">
      <selection activeCell="D6" sqref="D6:E6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6" t="s">
        <v>1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</row>
    <row r="2" spans="1:24" ht="15">
      <c r="A2" s="96" t="s">
        <v>2</v>
      </c>
      <c r="B2" s="96"/>
      <c r="C2" s="96" t="s">
        <v>3</v>
      </c>
      <c r="D2" s="96"/>
      <c r="E2" s="96"/>
      <c r="F2" s="96" t="s">
        <v>4</v>
      </c>
      <c r="G2" s="96"/>
      <c r="H2" s="96"/>
      <c r="I2" s="96"/>
      <c r="J2" s="96"/>
      <c r="K2" s="96"/>
      <c r="L2" s="96"/>
      <c r="M2" s="96"/>
      <c r="N2" s="96" t="s">
        <v>5</v>
      </c>
      <c r="O2" s="96"/>
      <c r="P2" s="96"/>
      <c r="Q2" s="96" t="s">
        <v>6</v>
      </c>
      <c r="R2" s="96"/>
      <c r="S2" s="96"/>
      <c r="T2" s="96"/>
      <c r="U2" s="96"/>
      <c r="V2" s="96"/>
      <c r="W2" s="96" t="s">
        <v>7</v>
      </c>
      <c r="X2" s="149" t="s">
        <v>8</v>
      </c>
    </row>
    <row r="3" spans="1:24" ht="15">
      <c r="A3" s="97" t="s">
        <v>9</v>
      </c>
      <c r="B3" s="97" t="s">
        <v>10</v>
      </c>
      <c r="C3" s="97" t="s">
        <v>11</v>
      </c>
      <c r="D3" s="97" t="s">
        <v>12</v>
      </c>
      <c r="E3" s="97" t="s">
        <v>13</v>
      </c>
      <c r="F3" s="97" t="s">
        <v>14</v>
      </c>
      <c r="G3" s="97" t="s">
        <v>15</v>
      </c>
      <c r="H3" s="97" t="s">
        <v>16</v>
      </c>
      <c r="I3" s="97"/>
      <c r="J3" s="98" t="s">
        <v>17</v>
      </c>
      <c r="K3" s="98"/>
      <c r="L3" s="97" t="s">
        <v>18</v>
      </c>
      <c r="M3" s="97" t="s">
        <v>19</v>
      </c>
      <c r="N3" s="98" t="s">
        <v>20</v>
      </c>
      <c r="O3" s="98" t="s">
        <v>21</v>
      </c>
      <c r="P3" s="98" t="s">
        <v>22</v>
      </c>
      <c r="Q3" s="98" t="s">
        <v>23</v>
      </c>
      <c r="R3" s="98"/>
      <c r="S3" s="98" t="s">
        <v>24</v>
      </c>
      <c r="T3" s="98"/>
      <c r="U3" s="97" t="s">
        <v>25</v>
      </c>
      <c r="V3" s="98" t="s">
        <v>22</v>
      </c>
      <c r="W3" s="96"/>
      <c r="X3" s="149"/>
    </row>
    <row r="4" spans="1:24" ht="15">
      <c r="A4" s="151"/>
      <c r="B4" s="151"/>
      <c r="C4" s="151"/>
      <c r="D4" s="151"/>
      <c r="E4" s="151"/>
      <c r="F4" s="151"/>
      <c r="G4" s="151"/>
      <c r="H4" s="10" t="s">
        <v>26</v>
      </c>
      <c r="I4" s="10" t="s">
        <v>27</v>
      </c>
      <c r="J4" s="10" t="s">
        <v>26</v>
      </c>
      <c r="K4" s="11" t="s">
        <v>28</v>
      </c>
      <c r="L4" s="151"/>
      <c r="M4" s="151"/>
      <c r="N4" s="152"/>
      <c r="O4" s="152"/>
      <c r="P4" s="152"/>
      <c r="Q4" s="10" t="s">
        <v>29</v>
      </c>
      <c r="R4" s="11" t="s">
        <v>30</v>
      </c>
      <c r="S4" s="10" t="s">
        <v>29</v>
      </c>
      <c r="T4" s="11" t="s">
        <v>30</v>
      </c>
      <c r="U4" s="151"/>
      <c r="V4" s="152"/>
      <c r="W4" s="153"/>
      <c r="X4" s="150"/>
    </row>
    <row r="5" spans="1:24" s="92" customFormat="1" ht="15">
      <c r="A5" s="94" t="s">
        <v>595</v>
      </c>
      <c r="B5" s="94" t="s">
        <v>305</v>
      </c>
      <c r="C5" s="94" t="s">
        <v>612</v>
      </c>
      <c r="D5" s="47">
        <v>355</v>
      </c>
      <c r="E5" s="94" t="s">
        <v>308</v>
      </c>
      <c r="F5" s="77" t="s">
        <v>665</v>
      </c>
      <c r="G5" s="94" t="s">
        <v>36</v>
      </c>
      <c r="H5" s="94" t="s">
        <v>37</v>
      </c>
      <c r="I5" s="94" t="s">
        <v>38</v>
      </c>
      <c r="J5" s="94" t="s">
        <v>116</v>
      </c>
      <c r="K5" s="94" t="s">
        <v>117</v>
      </c>
      <c r="L5" s="90">
        <v>44783</v>
      </c>
      <c r="M5" s="90">
        <v>44786</v>
      </c>
      <c r="N5" s="77">
        <f>938.66/2</f>
        <v>469.33</v>
      </c>
      <c r="O5" s="77">
        <f>938.66/2</f>
        <v>469.33</v>
      </c>
      <c r="P5" s="70">
        <f>SUM(N5:O5)</f>
        <v>938.66</v>
      </c>
      <c r="Q5" s="77">
        <v>4</v>
      </c>
      <c r="R5" s="91">
        <v>120</v>
      </c>
      <c r="S5" s="77">
        <v>0</v>
      </c>
      <c r="T5" s="91">
        <v>0</v>
      </c>
      <c r="U5" s="70">
        <f>Q5*R5+S5*T5</f>
        <v>480</v>
      </c>
      <c r="V5" s="70">
        <f>P5+U5</f>
        <v>1418.6599999999999</v>
      </c>
      <c r="W5" s="70">
        <f>V5</f>
        <v>1418.6599999999999</v>
      </c>
      <c r="X5" s="77"/>
    </row>
    <row r="6" spans="1:24" s="92" customFormat="1" ht="15">
      <c r="A6" s="94" t="s">
        <v>595</v>
      </c>
      <c r="B6" s="94" t="s">
        <v>595</v>
      </c>
      <c r="C6" s="94" t="s">
        <v>412</v>
      </c>
      <c r="D6" s="47">
        <v>0</v>
      </c>
      <c r="E6" s="94" t="s">
        <v>562</v>
      </c>
      <c r="F6" s="77" t="s">
        <v>665</v>
      </c>
      <c r="G6" s="94" t="s">
        <v>36</v>
      </c>
      <c r="H6" s="94" t="s">
        <v>37</v>
      </c>
      <c r="I6" s="94" t="s">
        <v>38</v>
      </c>
      <c r="J6" s="94" t="s">
        <v>116</v>
      </c>
      <c r="K6" s="94" t="s">
        <v>117</v>
      </c>
      <c r="L6" s="90">
        <v>44783</v>
      </c>
      <c r="M6" s="90">
        <v>44786</v>
      </c>
      <c r="N6" s="77">
        <f>938.66/2</f>
        <v>469.33</v>
      </c>
      <c r="O6" s="77">
        <f>938.66/2</f>
        <v>469.33</v>
      </c>
      <c r="P6" s="70">
        <f t="shared" ref="P6:P11" si="0">SUM(N6:O6)</f>
        <v>938.66</v>
      </c>
      <c r="Q6" s="77">
        <v>0</v>
      </c>
      <c r="R6" s="91">
        <v>0</v>
      </c>
      <c r="S6" s="77">
        <v>0</v>
      </c>
      <c r="T6" s="91">
        <v>0</v>
      </c>
      <c r="U6" s="70">
        <f t="shared" ref="U6:U12" si="1">Q6*R6+S6*T6</f>
        <v>0</v>
      </c>
      <c r="V6" s="70">
        <f t="shared" ref="V6:V12" si="2">P6+U6</f>
        <v>938.66</v>
      </c>
      <c r="W6" s="70">
        <f t="shared" ref="W6:W12" si="3">V6</f>
        <v>938.66</v>
      </c>
      <c r="X6" s="77"/>
    </row>
    <row r="7" spans="1:24" s="92" customFormat="1" ht="15">
      <c r="A7" s="94" t="s">
        <v>371</v>
      </c>
      <c r="B7" s="94" t="s">
        <v>240</v>
      </c>
      <c r="C7" s="94" t="s">
        <v>140</v>
      </c>
      <c r="D7" s="47">
        <v>230</v>
      </c>
      <c r="E7" s="94" t="s">
        <v>142</v>
      </c>
      <c r="F7" s="77" t="s">
        <v>666</v>
      </c>
      <c r="G7" s="94" t="s">
        <v>36</v>
      </c>
      <c r="H7" s="94" t="s">
        <v>37</v>
      </c>
      <c r="I7" s="94" t="s">
        <v>38</v>
      </c>
      <c r="J7" s="94" t="s">
        <v>39</v>
      </c>
      <c r="K7" s="94" t="s">
        <v>40</v>
      </c>
      <c r="L7" s="90">
        <v>44780</v>
      </c>
      <c r="M7" s="90">
        <v>44782</v>
      </c>
      <c r="N7" s="77">
        <f>1453.97/2</f>
        <v>726.98500000000001</v>
      </c>
      <c r="O7" s="77">
        <f>1453.97/2</f>
        <v>726.98500000000001</v>
      </c>
      <c r="P7" s="70">
        <f t="shared" si="0"/>
        <v>1453.97</v>
      </c>
      <c r="Q7" s="77">
        <v>7</v>
      </c>
      <c r="R7" s="91">
        <v>120</v>
      </c>
      <c r="S7" s="77">
        <v>0</v>
      </c>
      <c r="T7" s="91">
        <v>0</v>
      </c>
      <c r="U7" s="70">
        <f t="shared" si="1"/>
        <v>840</v>
      </c>
      <c r="V7" s="70">
        <f t="shared" si="2"/>
        <v>2293.9700000000003</v>
      </c>
      <c r="W7" s="70">
        <f t="shared" si="3"/>
        <v>2293.9700000000003</v>
      </c>
      <c r="X7" s="77"/>
    </row>
    <row r="8" spans="1:24" s="92" customFormat="1" ht="28.5">
      <c r="A8" s="94" t="s">
        <v>253</v>
      </c>
      <c r="B8" s="94" t="s">
        <v>288</v>
      </c>
      <c r="C8" s="94" t="s">
        <v>345</v>
      </c>
      <c r="D8" s="47">
        <v>74</v>
      </c>
      <c r="E8" s="94" t="s">
        <v>535</v>
      </c>
      <c r="F8" s="93" t="s">
        <v>667</v>
      </c>
      <c r="G8" s="94" t="s">
        <v>36</v>
      </c>
      <c r="H8" s="94" t="s">
        <v>37</v>
      </c>
      <c r="I8" s="94" t="s">
        <v>38</v>
      </c>
      <c r="J8" s="94" t="s">
        <v>37</v>
      </c>
      <c r="K8" s="94" t="s">
        <v>391</v>
      </c>
      <c r="L8" s="90">
        <v>44778</v>
      </c>
      <c r="M8" s="90">
        <v>44796</v>
      </c>
      <c r="N8" s="77">
        <f>1468.46/2</f>
        <v>734.23</v>
      </c>
      <c r="O8" s="77">
        <f>1468.46/2</f>
        <v>734.23</v>
      </c>
      <c r="P8" s="70">
        <f t="shared" si="0"/>
        <v>1468.46</v>
      </c>
      <c r="Q8" s="77">
        <v>19</v>
      </c>
      <c r="R8" s="91">
        <v>120</v>
      </c>
      <c r="S8" s="77">
        <v>0</v>
      </c>
      <c r="T8" s="91">
        <v>0</v>
      </c>
      <c r="U8" s="70">
        <f t="shared" si="1"/>
        <v>2280</v>
      </c>
      <c r="V8" s="70">
        <f t="shared" si="2"/>
        <v>3748.46</v>
      </c>
      <c r="W8" s="70">
        <f t="shared" si="3"/>
        <v>3748.46</v>
      </c>
      <c r="X8" s="77"/>
    </row>
    <row r="9" spans="1:24" s="92" customFormat="1" ht="15">
      <c r="A9" s="94" t="s">
        <v>253</v>
      </c>
      <c r="B9" s="94" t="s">
        <v>253</v>
      </c>
      <c r="C9" s="94" t="s">
        <v>387</v>
      </c>
      <c r="D9" s="47">
        <v>0</v>
      </c>
      <c r="E9" s="94" t="s">
        <v>78</v>
      </c>
      <c r="F9" s="77" t="s">
        <v>665</v>
      </c>
      <c r="G9" s="94" t="s">
        <v>36</v>
      </c>
      <c r="H9" s="94" t="s">
        <v>37</v>
      </c>
      <c r="I9" s="94" t="s">
        <v>38</v>
      </c>
      <c r="J9" s="94" t="s">
        <v>116</v>
      </c>
      <c r="K9" s="94" t="s">
        <v>117</v>
      </c>
      <c r="L9" s="90">
        <v>44783</v>
      </c>
      <c r="M9" s="90">
        <v>44785</v>
      </c>
      <c r="N9" s="77">
        <f>1281.31/2</f>
        <v>640.65499999999997</v>
      </c>
      <c r="O9" s="77">
        <f>1281.31/2</f>
        <v>640.65499999999997</v>
      </c>
      <c r="P9" s="70">
        <f t="shared" si="0"/>
        <v>1281.31</v>
      </c>
      <c r="Q9" s="77">
        <v>0</v>
      </c>
      <c r="R9" s="91">
        <v>0</v>
      </c>
      <c r="S9" s="77">
        <v>0</v>
      </c>
      <c r="T9" s="91">
        <v>0</v>
      </c>
      <c r="U9" s="70">
        <f t="shared" si="1"/>
        <v>0</v>
      </c>
      <c r="V9" s="70">
        <f t="shared" si="2"/>
        <v>1281.31</v>
      </c>
      <c r="W9" s="70">
        <f t="shared" si="3"/>
        <v>1281.31</v>
      </c>
      <c r="X9" s="77"/>
    </row>
    <row r="10" spans="1:24" s="92" customFormat="1" ht="15">
      <c r="A10" s="94" t="s">
        <v>595</v>
      </c>
      <c r="B10" s="94" t="s">
        <v>221</v>
      </c>
      <c r="C10" s="94" t="s">
        <v>54</v>
      </c>
      <c r="D10" s="47">
        <v>56</v>
      </c>
      <c r="E10" s="94" t="s">
        <v>610</v>
      </c>
      <c r="F10" s="77" t="s">
        <v>665</v>
      </c>
      <c r="G10" s="94" t="s">
        <v>36</v>
      </c>
      <c r="H10" s="94" t="s">
        <v>37</v>
      </c>
      <c r="I10" s="94" t="s">
        <v>38</v>
      </c>
      <c r="J10" s="94" t="s">
        <v>116</v>
      </c>
      <c r="K10" s="94" t="s">
        <v>117</v>
      </c>
      <c r="L10" s="90">
        <v>44783</v>
      </c>
      <c r="M10" s="90">
        <v>44785</v>
      </c>
      <c r="N10" s="77">
        <f>1494.92/2</f>
        <v>747.46</v>
      </c>
      <c r="O10" s="77">
        <f>1494.92/2</f>
        <v>747.46</v>
      </c>
      <c r="P10" s="70">
        <f t="shared" si="0"/>
        <v>1494.92</v>
      </c>
      <c r="Q10" s="77">
        <v>3</v>
      </c>
      <c r="R10" s="91">
        <v>120</v>
      </c>
      <c r="S10" s="77"/>
      <c r="T10" s="91"/>
      <c r="U10" s="70">
        <f t="shared" si="1"/>
        <v>360</v>
      </c>
      <c r="V10" s="70">
        <f t="shared" si="2"/>
        <v>1854.92</v>
      </c>
      <c r="W10" s="70">
        <f t="shared" si="3"/>
        <v>1854.92</v>
      </c>
      <c r="X10" s="77"/>
    </row>
    <row r="11" spans="1:24" s="92" customFormat="1" ht="15">
      <c r="A11" s="94" t="s">
        <v>595</v>
      </c>
      <c r="B11" s="94" t="s">
        <v>462</v>
      </c>
      <c r="C11" s="94" t="s">
        <v>401</v>
      </c>
      <c r="D11" s="47">
        <v>349</v>
      </c>
      <c r="E11" s="94" t="s">
        <v>403</v>
      </c>
      <c r="F11" s="77" t="s">
        <v>668</v>
      </c>
      <c r="G11" s="94" t="s">
        <v>36</v>
      </c>
      <c r="H11" s="94" t="s">
        <v>37</v>
      </c>
      <c r="I11" s="94" t="s">
        <v>38</v>
      </c>
      <c r="J11" s="94" t="s">
        <v>199</v>
      </c>
      <c r="K11" s="94" t="s">
        <v>669</v>
      </c>
      <c r="L11" s="90">
        <v>44794</v>
      </c>
      <c r="M11" s="90">
        <v>44798</v>
      </c>
      <c r="N11" s="77">
        <f>4132.8/2</f>
        <v>2066.4</v>
      </c>
      <c r="O11" s="77">
        <f>4132.8/2</f>
        <v>2066.4</v>
      </c>
      <c r="P11" s="70">
        <f t="shared" si="0"/>
        <v>4132.8</v>
      </c>
      <c r="Q11" s="77">
        <v>5</v>
      </c>
      <c r="R11" s="91">
        <v>120</v>
      </c>
      <c r="S11" s="77">
        <v>0</v>
      </c>
      <c r="T11" s="91">
        <v>0</v>
      </c>
      <c r="U11" s="70">
        <f t="shared" si="1"/>
        <v>600</v>
      </c>
      <c r="V11" s="70">
        <f t="shared" si="2"/>
        <v>4732.8</v>
      </c>
      <c r="W11" s="70">
        <f t="shared" si="3"/>
        <v>4732.8</v>
      </c>
      <c r="X11" s="77"/>
    </row>
    <row r="12" spans="1:24" s="92" customFormat="1" ht="15">
      <c r="A12" s="94" t="s">
        <v>371</v>
      </c>
      <c r="B12" s="94" t="s">
        <v>371</v>
      </c>
      <c r="C12" s="94" t="s">
        <v>79</v>
      </c>
      <c r="D12" s="47">
        <v>0</v>
      </c>
      <c r="E12" s="94" t="s">
        <v>80</v>
      </c>
      <c r="F12" s="77" t="s">
        <v>666</v>
      </c>
      <c r="G12" s="94" t="s">
        <v>36</v>
      </c>
      <c r="H12" s="94" t="s">
        <v>116</v>
      </c>
      <c r="I12" s="94" t="s">
        <v>117</v>
      </c>
      <c r="J12" s="94" t="s">
        <v>39</v>
      </c>
      <c r="K12" s="94" t="s">
        <v>40</v>
      </c>
      <c r="L12" s="90">
        <v>44781</v>
      </c>
      <c r="M12" s="90">
        <v>44782</v>
      </c>
      <c r="N12" s="77">
        <f>(1670.82+834.23)/2</f>
        <v>1252.5250000000001</v>
      </c>
      <c r="O12" s="77">
        <f>(1670.82+834.23)/2</f>
        <v>1252.5250000000001</v>
      </c>
      <c r="P12" s="70">
        <f>SUM(N12:O12)</f>
        <v>2505.0500000000002</v>
      </c>
      <c r="Q12" s="77">
        <v>0</v>
      </c>
      <c r="R12" s="91">
        <v>0</v>
      </c>
      <c r="S12" s="77">
        <v>0</v>
      </c>
      <c r="T12" s="91">
        <v>0</v>
      </c>
      <c r="U12" s="70">
        <f t="shared" si="1"/>
        <v>0</v>
      </c>
      <c r="V12" s="70">
        <f t="shared" si="2"/>
        <v>2505.0500000000002</v>
      </c>
      <c r="W12" s="70">
        <f t="shared" si="3"/>
        <v>2505.0500000000002</v>
      </c>
      <c r="X12" s="77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29"/>
  <sheetViews>
    <sheetView workbookViewId="0">
      <selection activeCell="E13" sqref="E13"/>
    </sheetView>
  </sheetViews>
  <sheetFormatPr defaultRowHeight="15" customHeight="1"/>
  <cols>
    <col min="1" max="1" width="8.6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62" t="s">
        <v>0</v>
      </c>
      <c r="W5" s="162"/>
      <c r="X5" s="8">
        <v>43009</v>
      </c>
    </row>
    <row r="6" spans="1:24">
      <c r="A6" s="96" t="s">
        <v>1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</row>
    <row r="7" spans="1:24">
      <c r="A7" s="96" t="s">
        <v>2</v>
      </c>
      <c r="B7" s="96"/>
      <c r="C7" s="96" t="s">
        <v>3</v>
      </c>
      <c r="D7" s="96"/>
      <c r="E7" s="96"/>
      <c r="F7" s="96" t="s">
        <v>4</v>
      </c>
      <c r="G7" s="96"/>
      <c r="H7" s="96"/>
      <c r="I7" s="96"/>
      <c r="J7" s="96"/>
      <c r="K7" s="96"/>
      <c r="L7" s="96"/>
      <c r="M7" s="96"/>
      <c r="N7" s="96" t="s">
        <v>5</v>
      </c>
      <c r="O7" s="96"/>
      <c r="P7" s="96"/>
      <c r="Q7" s="96" t="s">
        <v>6</v>
      </c>
      <c r="R7" s="96"/>
      <c r="S7" s="96"/>
      <c r="T7" s="96"/>
      <c r="U7" s="96"/>
      <c r="V7" s="96"/>
      <c r="W7" s="96" t="s">
        <v>7</v>
      </c>
      <c r="X7" s="96" t="s">
        <v>8</v>
      </c>
    </row>
    <row r="8" spans="1:24" s="9" customFormat="1">
      <c r="A8" s="97" t="s">
        <v>9</v>
      </c>
      <c r="B8" s="97" t="s">
        <v>10</v>
      </c>
      <c r="C8" s="97" t="s">
        <v>11</v>
      </c>
      <c r="D8" s="97" t="s">
        <v>12</v>
      </c>
      <c r="E8" s="97" t="s">
        <v>13</v>
      </c>
      <c r="F8" s="97" t="s">
        <v>14</v>
      </c>
      <c r="G8" s="97" t="s">
        <v>15</v>
      </c>
      <c r="H8" s="97" t="s">
        <v>16</v>
      </c>
      <c r="I8" s="97"/>
      <c r="J8" s="98" t="s">
        <v>17</v>
      </c>
      <c r="K8" s="98"/>
      <c r="L8" s="97" t="s">
        <v>18</v>
      </c>
      <c r="M8" s="97" t="s">
        <v>19</v>
      </c>
      <c r="N8" s="98" t="s">
        <v>20</v>
      </c>
      <c r="O8" s="98" t="s">
        <v>21</v>
      </c>
      <c r="P8" s="98" t="s">
        <v>22</v>
      </c>
      <c r="Q8" s="98" t="s">
        <v>23</v>
      </c>
      <c r="R8" s="98"/>
      <c r="S8" s="98" t="s">
        <v>24</v>
      </c>
      <c r="T8" s="98"/>
      <c r="U8" s="97" t="s">
        <v>25</v>
      </c>
      <c r="V8" s="98" t="s">
        <v>22</v>
      </c>
      <c r="W8" s="96"/>
      <c r="X8" s="96"/>
    </row>
    <row r="9" spans="1:24" s="9" customFormat="1">
      <c r="A9" s="97"/>
      <c r="B9" s="97"/>
      <c r="C9" s="97"/>
      <c r="D9" s="97"/>
      <c r="E9" s="97"/>
      <c r="F9" s="97"/>
      <c r="G9" s="97"/>
      <c r="H9" s="10" t="s">
        <v>26</v>
      </c>
      <c r="I9" s="10" t="s">
        <v>27</v>
      </c>
      <c r="J9" s="10" t="s">
        <v>26</v>
      </c>
      <c r="K9" s="11" t="s">
        <v>28</v>
      </c>
      <c r="L9" s="97"/>
      <c r="M9" s="97"/>
      <c r="N9" s="98"/>
      <c r="O9" s="98"/>
      <c r="P9" s="98"/>
      <c r="Q9" s="10" t="s">
        <v>29</v>
      </c>
      <c r="R9" s="11" t="s">
        <v>30</v>
      </c>
      <c r="S9" s="10" t="s">
        <v>29</v>
      </c>
      <c r="T9" s="11" t="s">
        <v>30</v>
      </c>
      <c r="U9" s="97"/>
      <c r="V9" s="98"/>
      <c r="W9" s="96"/>
      <c r="X9" s="96"/>
    </row>
    <row r="10" spans="1:24" ht="38.25">
      <c r="A10" s="27" t="s">
        <v>31</v>
      </c>
      <c r="B10" s="34" t="s">
        <v>212</v>
      </c>
      <c r="C10" s="34" t="s">
        <v>41</v>
      </c>
      <c r="D10" s="29" t="s">
        <v>171</v>
      </c>
      <c r="E10" s="20" t="s">
        <v>42</v>
      </c>
      <c r="F10" s="34" t="s">
        <v>213</v>
      </c>
      <c r="G10" s="30" t="s">
        <v>36</v>
      </c>
      <c r="H10" s="27" t="s">
        <v>37</v>
      </c>
      <c r="I10" s="27" t="s">
        <v>38</v>
      </c>
      <c r="J10" s="27" t="s">
        <v>39</v>
      </c>
      <c r="K10" s="31" t="s">
        <v>40</v>
      </c>
      <c r="L10" s="35">
        <v>43080</v>
      </c>
      <c r="M10" s="35">
        <v>43081</v>
      </c>
      <c r="N10" s="31">
        <f>972/2</f>
        <v>486</v>
      </c>
      <c r="O10" s="31">
        <f>972/2</f>
        <v>486</v>
      </c>
      <c r="P10" s="31">
        <f t="shared" ref="P10:P29" si="0">N10+O10</f>
        <v>972</v>
      </c>
      <c r="Q10" s="27">
        <v>3</v>
      </c>
      <c r="R10" s="31">
        <v>120</v>
      </c>
      <c r="S10" s="27"/>
      <c r="T10" s="31"/>
      <c r="U10" s="32">
        <f t="shared" ref="U10" si="1">(Q10*R10)+(S10*T10)</f>
        <v>360</v>
      </c>
      <c r="V10" s="31">
        <f t="shared" ref="V10" si="2">P10+U10</f>
        <v>1332</v>
      </c>
      <c r="W10" s="31">
        <f t="shared" ref="W10" si="3">V10</f>
        <v>1332</v>
      </c>
      <c r="X10" s="28"/>
    </row>
    <row r="11" spans="1:24" ht="51">
      <c r="A11" s="27" t="s">
        <v>31</v>
      </c>
      <c r="B11" s="34" t="s">
        <v>212</v>
      </c>
      <c r="C11" s="27" t="s">
        <v>167</v>
      </c>
      <c r="D11" s="29" t="s">
        <v>168</v>
      </c>
      <c r="E11" s="20" t="s">
        <v>169</v>
      </c>
      <c r="F11" s="34" t="s">
        <v>214</v>
      </c>
      <c r="G11" s="30" t="s">
        <v>36</v>
      </c>
      <c r="H11" s="27" t="s">
        <v>37</v>
      </c>
      <c r="I11" s="27" t="s">
        <v>38</v>
      </c>
      <c r="J11" s="27" t="s">
        <v>39</v>
      </c>
      <c r="K11" s="31" t="s">
        <v>40</v>
      </c>
      <c r="L11" s="35">
        <v>43082</v>
      </c>
      <c r="M11" s="35">
        <v>43084</v>
      </c>
      <c r="N11" s="31">
        <f>944.36/2</f>
        <v>472.18</v>
      </c>
      <c r="O11" s="31">
        <f>944.36/2</f>
        <v>472.18</v>
      </c>
      <c r="P11" s="31">
        <f t="shared" si="0"/>
        <v>944.36</v>
      </c>
      <c r="Q11" s="27">
        <v>3</v>
      </c>
      <c r="R11" s="31">
        <v>120</v>
      </c>
      <c r="S11" s="27">
        <v>2</v>
      </c>
      <c r="T11" s="31">
        <v>100</v>
      </c>
      <c r="U11" s="32">
        <f t="shared" ref="U11:U29" si="4">(Q11*R11)+(S11*T11)</f>
        <v>560</v>
      </c>
      <c r="V11" s="31">
        <f t="shared" ref="V11:V29" si="5">P11+U11</f>
        <v>1504.3600000000001</v>
      </c>
      <c r="W11" s="31">
        <f t="shared" ref="W11:W29" si="6">V11</f>
        <v>1504.3600000000001</v>
      </c>
      <c r="X11" s="33"/>
    </row>
    <row r="12" spans="1:24" ht="51">
      <c r="A12" s="27" t="s">
        <v>52</v>
      </c>
      <c r="B12" s="34" t="s">
        <v>215</v>
      </c>
      <c r="C12" s="27" t="s">
        <v>216</v>
      </c>
      <c r="D12" s="29" t="s">
        <v>217</v>
      </c>
      <c r="E12" s="20" t="s">
        <v>218</v>
      </c>
      <c r="F12" s="34" t="s">
        <v>219</v>
      </c>
      <c r="G12" s="30" t="s">
        <v>36</v>
      </c>
      <c r="H12" s="27" t="s">
        <v>37</v>
      </c>
      <c r="I12" s="27" t="s">
        <v>38</v>
      </c>
      <c r="J12" s="27" t="s">
        <v>62</v>
      </c>
      <c r="K12" s="31" t="s">
        <v>63</v>
      </c>
      <c r="L12" s="35">
        <v>43074</v>
      </c>
      <c r="M12" s="35">
        <v>43075</v>
      </c>
      <c r="N12" s="31">
        <f>922.41/2</f>
        <v>461.20499999999998</v>
      </c>
      <c r="O12" s="31">
        <f>922.41/2</f>
        <v>461.20499999999998</v>
      </c>
      <c r="P12" s="31">
        <f t="shared" si="0"/>
        <v>922.41</v>
      </c>
      <c r="Q12" s="27">
        <v>4</v>
      </c>
      <c r="R12" s="31">
        <v>120</v>
      </c>
      <c r="S12" s="27"/>
      <c r="T12" s="31"/>
      <c r="U12" s="32">
        <f t="shared" si="4"/>
        <v>480</v>
      </c>
      <c r="V12" s="31">
        <f t="shared" si="5"/>
        <v>1402.4099999999999</v>
      </c>
      <c r="W12" s="31">
        <f t="shared" si="6"/>
        <v>1402.4099999999999</v>
      </c>
      <c r="X12" s="33"/>
    </row>
    <row r="13" spans="1:24" ht="25.5">
      <c r="A13" s="27" t="s">
        <v>52</v>
      </c>
      <c r="B13" s="27" t="s">
        <v>52</v>
      </c>
      <c r="C13" s="27" t="s">
        <v>86</v>
      </c>
      <c r="D13" s="29" t="s">
        <v>107</v>
      </c>
      <c r="E13" s="20" t="s">
        <v>87</v>
      </c>
      <c r="F13" s="34" t="s">
        <v>220</v>
      </c>
      <c r="G13" s="30" t="s">
        <v>36</v>
      </c>
      <c r="H13" s="27" t="s">
        <v>37</v>
      </c>
      <c r="I13" s="27" t="s">
        <v>38</v>
      </c>
      <c r="J13" s="27" t="s">
        <v>39</v>
      </c>
      <c r="K13" s="31" t="s">
        <v>40</v>
      </c>
      <c r="L13" s="35">
        <v>43076</v>
      </c>
      <c r="M13" s="35">
        <v>43076</v>
      </c>
      <c r="N13" s="31">
        <f>994.14/2</f>
        <v>497.07</v>
      </c>
      <c r="O13" s="31">
        <f>994.14/2</f>
        <v>497.07</v>
      </c>
      <c r="P13" s="31">
        <f t="shared" si="0"/>
        <v>994.14</v>
      </c>
      <c r="Q13" s="27"/>
      <c r="R13" s="31"/>
      <c r="S13" s="27"/>
      <c r="T13" s="31"/>
      <c r="U13" s="32">
        <f t="shared" si="4"/>
        <v>0</v>
      </c>
      <c r="V13" s="31">
        <f t="shared" si="5"/>
        <v>994.14</v>
      </c>
      <c r="W13" s="31">
        <f t="shared" si="6"/>
        <v>994.14</v>
      </c>
      <c r="X13" s="33"/>
    </row>
    <row r="14" spans="1:24" ht="38.25">
      <c r="A14" s="27" t="s">
        <v>52</v>
      </c>
      <c r="B14" s="34" t="s">
        <v>221</v>
      </c>
      <c r="C14" s="27" t="s">
        <v>54</v>
      </c>
      <c r="D14" s="26" t="s">
        <v>88</v>
      </c>
      <c r="E14" s="14" t="s">
        <v>55</v>
      </c>
      <c r="F14" s="34" t="s">
        <v>220</v>
      </c>
      <c r="G14" s="30" t="s">
        <v>36</v>
      </c>
      <c r="H14" s="27" t="s">
        <v>37</v>
      </c>
      <c r="I14" s="27" t="s">
        <v>38</v>
      </c>
      <c r="J14" s="27" t="s">
        <v>39</v>
      </c>
      <c r="K14" s="31" t="s">
        <v>40</v>
      </c>
      <c r="L14" s="35">
        <v>43076</v>
      </c>
      <c r="M14" s="35">
        <v>43076</v>
      </c>
      <c r="N14" s="31">
        <f>992.25/2</f>
        <v>496.125</v>
      </c>
      <c r="O14" s="31">
        <f>992.25/2</f>
        <v>496.125</v>
      </c>
      <c r="P14" s="31">
        <f t="shared" si="0"/>
        <v>992.25</v>
      </c>
      <c r="Q14" s="27">
        <v>3</v>
      </c>
      <c r="R14" s="31">
        <v>120</v>
      </c>
      <c r="S14" s="27"/>
      <c r="T14" s="31"/>
      <c r="U14" s="32">
        <f t="shared" si="4"/>
        <v>360</v>
      </c>
      <c r="V14" s="31">
        <f t="shared" si="5"/>
        <v>1352.25</v>
      </c>
      <c r="W14" s="31">
        <f t="shared" si="6"/>
        <v>1352.25</v>
      </c>
      <c r="X14" s="33"/>
    </row>
    <row r="15" spans="1:24" ht="14.25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4"/>
        <v>0</v>
      </c>
      <c r="V15" s="31">
        <f t="shared" si="5"/>
        <v>0</v>
      </c>
      <c r="W15" s="31">
        <f t="shared" si="6"/>
        <v>0</v>
      </c>
      <c r="X15" s="33"/>
    </row>
    <row r="16" spans="1:24" ht="14.25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4"/>
        <v>0</v>
      </c>
      <c r="V16" s="31">
        <f t="shared" si="5"/>
        <v>0</v>
      </c>
      <c r="W16" s="31">
        <f t="shared" si="6"/>
        <v>0</v>
      </c>
      <c r="X16" s="33"/>
    </row>
    <row r="17" spans="1:24" ht="14.25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4"/>
        <v>0</v>
      </c>
      <c r="V17" s="31">
        <f t="shared" si="5"/>
        <v>0</v>
      </c>
      <c r="W17" s="31">
        <f t="shared" si="6"/>
        <v>0</v>
      </c>
      <c r="X17" s="33"/>
    </row>
    <row r="18" spans="1:24" ht="14.25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4"/>
        <v>0</v>
      </c>
      <c r="V18" s="31">
        <f t="shared" si="5"/>
        <v>0</v>
      </c>
      <c r="W18" s="31">
        <f t="shared" si="6"/>
        <v>0</v>
      </c>
      <c r="X18" s="33"/>
    </row>
    <row r="19" spans="1:24" ht="14.25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4"/>
        <v>0</v>
      </c>
      <c r="V19" s="31">
        <f t="shared" si="5"/>
        <v>0</v>
      </c>
      <c r="W19" s="31">
        <f t="shared" si="6"/>
        <v>0</v>
      </c>
      <c r="X19" s="33"/>
    </row>
    <row r="20" spans="1:24" ht="14.25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4"/>
        <v>0</v>
      </c>
      <c r="V20" s="31">
        <f t="shared" si="5"/>
        <v>0</v>
      </c>
      <c r="W20" s="31">
        <f t="shared" si="6"/>
        <v>0</v>
      </c>
      <c r="X20" s="33"/>
    </row>
    <row r="21" spans="1:24" ht="14.25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4"/>
        <v>0</v>
      </c>
      <c r="V21" s="31">
        <f t="shared" si="5"/>
        <v>0</v>
      </c>
      <c r="W21" s="31">
        <f t="shared" si="6"/>
        <v>0</v>
      </c>
      <c r="X21" s="33"/>
    </row>
    <row r="22" spans="1:24" ht="14.25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4"/>
        <v>0</v>
      </c>
      <c r="V22" s="31">
        <f t="shared" si="5"/>
        <v>0</v>
      </c>
      <c r="W22" s="31">
        <f t="shared" si="6"/>
        <v>0</v>
      </c>
      <c r="X22" s="33"/>
    </row>
    <row r="23" spans="1:24" ht="14.25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4"/>
        <v>0</v>
      </c>
      <c r="V23" s="31">
        <f t="shared" si="5"/>
        <v>0</v>
      </c>
      <c r="W23" s="31">
        <f t="shared" si="6"/>
        <v>0</v>
      </c>
      <c r="X23" s="33"/>
    </row>
    <row r="24" spans="1:24" ht="14.25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4"/>
        <v>0</v>
      </c>
      <c r="V24" s="31">
        <f t="shared" si="5"/>
        <v>0</v>
      </c>
      <c r="W24" s="31">
        <f t="shared" si="6"/>
        <v>0</v>
      </c>
      <c r="X24" s="33"/>
    </row>
    <row r="25" spans="1:24" ht="14.25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4"/>
        <v>0</v>
      </c>
      <c r="V25" s="31">
        <f t="shared" si="5"/>
        <v>0</v>
      </c>
      <c r="W25" s="31">
        <f t="shared" si="6"/>
        <v>0</v>
      </c>
      <c r="X25" s="33"/>
    </row>
    <row r="26" spans="1:24" ht="14.25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4"/>
        <v>0</v>
      </c>
      <c r="V26" s="31">
        <f t="shared" si="5"/>
        <v>0</v>
      </c>
      <c r="W26" s="31">
        <f t="shared" si="6"/>
        <v>0</v>
      </c>
      <c r="X26" s="33"/>
    </row>
    <row r="27" spans="1:24" ht="14.25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4"/>
        <v>0</v>
      </c>
      <c r="V27" s="31">
        <f t="shared" si="5"/>
        <v>0</v>
      </c>
      <c r="W27" s="31">
        <f t="shared" si="6"/>
        <v>0</v>
      </c>
      <c r="X27" s="33"/>
    </row>
    <row r="28" spans="1:24" ht="14.25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4"/>
        <v>0</v>
      </c>
      <c r="V28" s="31">
        <f t="shared" si="5"/>
        <v>0</v>
      </c>
      <c r="W28" s="31">
        <f t="shared" si="6"/>
        <v>0</v>
      </c>
      <c r="X28" s="33"/>
    </row>
    <row r="29" spans="1:24" ht="14.25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4"/>
        <v>0</v>
      </c>
      <c r="V29" s="31">
        <f t="shared" si="5"/>
        <v>0</v>
      </c>
      <c r="W29" s="31">
        <f t="shared" si="6"/>
        <v>0</v>
      </c>
      <c r="X29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X8"/>
  <sheetViews>
    <sheetView workbookViewId="0">
      <selection activeCell="D8" sqref="D8:E8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6" t="s">
        <v>1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</row>
    <row r="2" spans="1:24" ht="15">
      <c r="A2" s="96" t="s">
        <v>2</v>
      </c>
      <c r="B2" s="96"/>
      <c r="C2" s="96" t="s">
        <v>3</v>
      </c>
      <c r="D2" s="96"/>
      <c r="E2" s="96"/>
      <c r="F2" s="96" t="s">
        <v>4</v>
      </c>
      <c r="G2" s="96"/>
      <c r="H2" s="96"/>
      <c r="I2" s="96"/>
      <c r="J2" s="96"/>
      <c r="K2" s="96"/>
      <c r="L2" s="96"/>
      <c r="M2" s="96"/>
      <c r="N2" s="96" t="s">
        <v>5</v>
      </c>
      <c r="O2" s="96"/>
      <c r="P2" s="96"/>
      <c r="Q2" s="96" t="s">
        <v>6</v>
      </c>
      <c r="R2" s="96"/>
      <c r="S2" s="96"/>
      <c r="T2" s="96"/>
      <c r="U2" s="96"/>
      <c r="V2" s="96"/>
      <c r="W2" s="96" t="s">
        <v>7</v>
      </c>
      <c r="X2" s="149" t="s">
        <v>8</v>
      </c>
    </row>
    <row r="3" spans="1:24" ht="15">
      <c r="A3" s="97" t="s">
        <v>9</v>
      </c>
      <c r="B3" s="97" t="s">
        <v>10</v>
      </c>
      <c r="C3" s="97" t="s">
        <v>11</v>
      </c>
      <c r="D3" s="97" t="s">
        <v>12</v>
      </c>
      <c r="E3" s="97" t="s">
        <v>13</v>
      </c>
      <c r="F3" s="97" t="s">
        <v>14</v>
      </c>
      <c r="G3" s="97" t="s">
        <v>15</v>
      </c>
      <c r="H3" s="97" t="s">
        <v>16</v>
      </c>
      <c r="I3" s="97"/>
      <c r="J3" s="98" t="s">
        <v>17</v>
      </c>
      <c r="K3" s="98"/>
      <c r="L3" s="97" t="s">
        <v>18</v>
      </c>
      <c r="M3" s="97" t="s">
        <v>19</v>
      </c>
      <c r="N3" s="98" t="s">
        <v>20</v>
      </c>
      <c r="O3" s="98" t="s">
        <v>21</v>
      </c>
      <c r="P3" s="98" t="s">
        <v>22</v>
      </c>
      <c r="Q3" s="98" t="s">
        <v>23</v>
      </c>
      <c r="R3" s="98"/>
      <c r="S3" s="98" t="s">
        <v>24</v>
      </c>
      <c r="T3" s="98"/>
      <c r="U3" s="97" t="s">
        <v>25</v>
      </c>
      <c r="V3" s="98" t="s">
        <v>22</v>
      </c>
      <c r="W3" s="96"/>
      <c r="X3" s="149"/>
    </row>
    <row r="4" spans="1:24" ht="15">
      <c r="A4" s="151"/>
      <c r="B4" s="151"/>
      <c r="C4" s="151"/>
      <c r="D4" s="151"/>
      <c r="E4" s="151"/>
      <c r="F4" s="151"/>
      <c r="G4" s="151"/>
      <c r="H4" s="10" t="s">
        <v>26</v>
      </c>
      <c r="I4" s="10" t="s">
        <v>27</v>
      </c>
      <c r="J4" s="10" t="s">
        <v>26</v>
      </c>
      <c r="K4" s="11" t="s">
        <v>28</v>
      </c>
      <c r="L4" s="151"/>
      <c r="M4" s="151"/>
      <c r="N4" s="152"/>
      <c r="O4" s="152"/>
      <c r="P4" s="152"/>
      <c r="Q4" s="10" t="s">
        <v>29</v>
      </c>
      <c r="R4" s="11" t="s">
        <v>30</v>
      </c>
      <c r="S4" s="10" t="s">
        <v>29</v>
      </c>
      <c r="T4" s="11" t="s">
        <v>30</v>
      </c>
      <c r="U4" s="151"/>
      <c r="V4" s="152"/>
      <c r="W4" s="153"/>
      <c r="X4" s="150"/>
    </row>
    <row r="5" spans="1:24" s="92" customFormat="1" ht="15">
      <c r="A5" s="94" t="s">
        <v>371</v>
      </c>
      <c r="B5" s="94" t="s">
        <v>396</v>
      </c>
      <c r="C5" s="94" t="s">
        <v>267</v>
      </c>
      <c r="D5" s="47">
        <v>284</v>
      </c>
      <c r="E5" s="94" t="s">
        <v>670</v>
      </c>
      <c r="F5" s="77" t="s">
        <v>671</v>
      </c>
      <c r="G5" s="94" t="s">
        <v>36</v>
      </c>
      <c r="H5" s="94" t="s">
        <v>37</v>
      </c>
      <c r="I5" s="94" t="s">
        <v>38</v>
      </c>
      <c r="J5" s="94" t="s">
        <v>661</v>
      </c>
      <c r="K5" s="94" t="s">
        <v>662</v>
      </c>
      <c r="L5" s="90">
        <v>44823</v>
      </c>
      <c r="M5" s="90">
        <v>44827</v>
      </c>
      <c r="N5" s="91">
        <f>1212.43/2</f>
        <v>606.21500000000003</v>
      </c>
      <c r="O5" s="91">
        <f>1212.43/2</f>
        <v>606.21500000000003</v>
      </c>
      <c r="P5" s="70">
        <f>SUM(N5:O5)</f>
        <v>1212.43</v>
      </c>
      <c r="Q5" s="77">
        <v>5</v>
      </c>
      <c r="R5" s="91">
        <v>120</v>
      </c>
      <c r="S5" s="77">
        <v>0</v>
      </c>
      <c r="T5" s="91">
        <v>0</v>
      </c>
      <c r="U5" s="70">
        <f>Q5*R5+S5*T5</f>
        <v>600</v>
      </c>
      <c r="V5" s="70">
        <f>P5+U5</f>
        <v>1812.43</v>
      </c>
      <c r="W5" s="70">
        <f>V5</f>
        <v>1812.43</v>
      </c>
      <c r="X5" s="77"/>
    </row>
    <row r="6" spans="1:24" s="92" customFormat="1" ht="15">
      <c r="A6" s="94" t="s">
        <v>253</v>
      </c>
      <c r="B6" s="94" t="s">
        <v>288</v>
      </c>
      <c r="C6" s="94" t="s">
        <v>173</v>
      </c>
      <c r="D6" s="47">
        <v>127</v>
      </c>
      <c r="E6" s="94" t="s">
        <v>672</v>
      </c>
      <c r="F6" s="77" t="s">
        <v>671</v>
      </c>
      <c r="G6" s="94" t="s">
        <v>36</v>
      </c>
      <c r="H6" s="94" t="s">
        <v>37</v>
      </c>
      <c r="I6" s="94" t="s">
        <v>38</v>
      </c>
      <c r="J6" s="94" t="s">
        <v>661</v>
      </c>
      <c r="K6" s="94" t="s">
        <v>662</v>
      </c>
      <c r="L6" s="90">
        <v>44823</v>
      </c>
      <c r="M6" s="90">
        <v>44827</v>
      </c>
      <c r="N6" s="91">
        <f>1212.43/2</f>
        <v>606.21500000000003</v>
      </c>
      <c r="O6" s="91">
        <f>1212.43/2</f>
        <v>606.21500000000003</v>
      </c>
      <c r="P6" s="70">
        <f t="shared" ref="P6:P8" si="0">SUM(N6:O6)</f>
        <v>1212.43</v>
      </c>
      <c r="Q6" s="77">
        <v>5</v>
      </c>
      <c r="R6" s="91">
        <v>120</v>
      </c>
      <c r="S6" s="77">
        <v>0</v>
      </c>
      <c r="T6" s="91">
        <v>0</v>
      </c>
      <c r="U6" s="70">
        <f t="shared" ref="U6:U8" si="1">Q6*R6+S6*T6</f>
        <v>600</v>
      </c>
      <c r="V6" s="70">
        <f t="shared" ref="V6:V8" si="2">P6+U6</f>
        <v>1812.43</v>
      </c>
      <c r="W6" s="70">
        <f t="shared" ref="W6:W8" si="3">V6</f>
        <v>1812.43</v>
      </c>
      <c r="X6" s="77"/>
    </row>
    <row r="7" spans="1:24" s="92" customFormat="1" ht="15">
      <c r="A7" s="94" t="s">
        <v>253</v>
      </c>
      <c r="B7" s="94" t="s">
        <v>259</v>
      </c>
      <c r="C7" s="94" t="s">
        <v>613</v>
      </c>
      <c r="D7" s="47">
        <v>372</v>
      </c>
      <c r="E7" s="94" t="s">
        <v>673</v>
      </c>
      <c r="F7" s="77" t="s">
        <v>674</v>
      </c>
      <c r="G7" s="94" t="s">
        <v>36</v>
      </c>
      <c r="H7" s="94" t="s">
        <v>37</v>
      </c>
      <c r="I7" s="94" t="s">
        <v>38</v>
      </c>
      <c r="J7" s="94" t="s">
        <v>39</v>
      </c>
      <c r="K7" s="94" t="s">
        <v>40</v>
      </c>
      <c r="L7" s="90">
        <v>44825</v>
      </c>
      <c r="M7" s="90">
        <v>44826</v>
      </c>
      <c r="N7" s="91">
        <v>1453.97</v>
      </c>
      <c r="O7" s="91">
        <v>2364.62</v>
      </c>
      <c r="P7" s="70">
        <f t="shared" si="0"/>
        <v>3818.59</v>
      </c>
      <c r="Q7" s="77">
        <v>2</v>
      </c>
      <c r="R7" s="91">
        <v>120</v>
      </c>
      <c r="S7" s="77">
        <v>0</v>
      </c>
      <c r="T7" s="91">
        <v>0</v>
      </c>
      <c r="U7" s="70">
        <f t="shared" si="1"/>
        <v>240</v>
      </c>
      <c r="V7" s="70">
        <f t="shared" si="2"/>
        <v>4058.59</v>
      </c>
      <c r="W7" s="70">
        <f t="shared" si="3"/>
        <v>4058.59</v>
      </c>
      <c r="X7" s="77"/>
    </row>
    <row r="8" spans="1:24" s="92" customFormat="1" ht="15">
      <c r="A8" s="94" t="s">
        <v>253</v>
      </c>
      <c r="B8" s="94" t="s">
        <v>253</v>
      </c>
      <c r="C8" s="94" t="s">
        <v>675</v>
      </c>
      <c r="D8" s="47">
        <v>383</v>
      </c>
      <c r="E8" s="94" t="s">
        <v>676</v>
      </c>
      <c r="F8" s="93" t="s">
        <v>677</v>
      </c>
      <c r="G8" s="94" t="s">
        <v>36</v>
      </c>
      <c r="H8" s="94" t="s">
        <v>37</v>
      </c>
      <c r="I8" s="94" t="s">
        <v>38</v>
      </c>
      <c r="J8" s="94" t="s">
        <v>39</v>
      </c>
      <c r="K8" s="94" t="s">
        <v>40</v>
      </c>
      <c r="L8" s="90">
        <v>44832</v>
      </c>
      <c r="M8" s="90">
        <v>44833</v>
      </c>
      <c r="N8" s="91">
        <f>2113.03/2</f>
        <v>1056.5150000000001</v>
      </c>
      <c r="O8" s="91">
        <f>2113.03/2</f>
        <v>1056.5150000000001</v>
      </c>
      <c r="P8" s="70">
        <f t="shared" si="0"/>
        <v>2113.0300000000002</v>
      </c>
      <c r="Q8" s="77">
        <v>2</v>
      </c>
      <c r="R8" s="91">
        <v>120</v>
      </c>
      <c r="S8" s="77">
        <v>0</v>
      </c>
      <c r="T8" s="91">
        <v>0</v>
      </c>
      <c r="U8" s="70">
        <f t="shared" si="1"/>
        <v>240</v>
      </c>
      <c r="V8" s="70">
        <f t="shared" si="2"/>
        <v>2353.0300000000002</v>
      </c>
      <c r="W8" s="70">
        <f t="shared" si="3"/>
        <v>2353.0300000000002</v>
      </c>
      <c r="X8" s="77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X7"/>
  <sheetViews>
    <sheetView workbookViewId="0">
      <selection activeCell="B5" sqref="B5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6" t="s">
        <v>1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</row>
    <row r="2" spans="1:24" ht="15">
      <c r="A2" s="96" t="s">
        <v>2</v>
      </c>
      <c r="B2" s="96"/>
      <c r="C2" s="96" t="s">
        <v>3</v>
      </c>
      <c r="D2" s="96"/>
      <c r="E2" s="96"/>
      <c r="F2" s="96" t="s">
        <v>4</v>
      </c>
      <c r="G2" s="96"/>
      <c r="H2" s="96"/>
      <c r="I2" s="96"/>
      <c r="J2" s="96"/>
      <c r="K2" s="96"/>
      <c r="L2" s="96"/>
      <c r="M2" s="96"/>
      <c r="N2" s="96" t="s">
        <v>5</v>
      </c>
      <c r="O2" s="96"/>
      <c r="P2" s="96"/>
      <c r="Q2" s="96" t="s">
        <v>6</v>
      </c>
      <c r="R2" s="96"/>
      <c r="S2" s="96"/>
      <c r="T2" s="96"/>
      <c r="U2" s="96"/>
      <c r="V2" s="96"/>
      <c r="W2" s="96" t="s">
        <v>7</v>
      </c>
      <c r="X2" s="149" t="s">
        <v>8</v>
      </c>
    </row>
    <row r="3" spans="1:24" ht="15">
      <c r="A3" s="97" t="s">
        <v>9</v>
      </c>
      <c r="B3" s="97" t="s">
        <v>10</v>
      </c>
      <c r="C3" s="97" t="s">
        <v>11</v>
      </c>
      <c r="D3" s="97" t="s">
        <v>12</v>
      </c>
      <c r="E3" s="97" t="s">
        <v>13</v>
      </c>
      <c r="F3" s="97" t="s">
        <v>14</v>
      </c>
      <c r="G3" s="97" t="s">
        <v>15</v>
      </c>
      <c r="H3" s="97" t="s">
        <v>16</v>
      </c>
      <c r="I3" s="97"/>
      <c r="J3" s="98" t="s">
        <v>17</v>
      </c>
      <c r="K3" s="98"/>
      <c r="L3" s="97" t="s">
        <v>18</v>
      </c>
      <c r="M3" s="97" t="s">
        <v>19</v>
      </c>
      <c r="N3" s="98" t="s">
        <v>20</v>
      </c>
      <c r="O3" s="98" t="s">
        <v>21</v>
      </c>
      <c r="P3" s="98" t="s">
        <v>22</v>
      </c>
      <c r="Q3" s="98" t="s">
        <v>23</v>
      </c>
      <c r="R3" s="98"/>
      <c r="S3" s="98" t="s">
        <v>24</v>
      </c>
      <c r="T3" s="98"/>
      <c r="U3" s="97" t="s">
        <v>25</v>
      </c>
      <c r="V3" s="98" t="s">
        <v>22</v>
      </c>
      <c r="W3" s="96"/>
      <c r="X3" s="149"/>
    </row>
    <row r="4" spans="1:24" ht="15">
      <c r="A4" s="151"/>
      <c r="B4" s="151"/>
      <c r="C4" s="151"/>
      <c r="D4" s="151"/>
      <c r="E4" s="151"/>
      <c r="F4" s="151"/>
      <c r="G4" s="151"/>
      <c r="H4" s="10" t="s">
        <v>26</v>
      </c>
      <c r="I4" s="10" t="s">
        <v>27</v>
      </c>
      <c r="J4" s="10" t="s">
        <v>26</v>
      </c>
      <c r="K4" s="11" t="s">
        <v>28</v>
      </c>
      <c r="L4" s="151"/>
      <c r="M4" s="151"/>
      <c r="N4" s="152"/>
      <c r="O4" s="152"/>
      <c r="P4" s="152"/>
      <c r="Q4" s="10" t="s">
        <v>29</v>
      </c>
      <c r="R4" s="11" t="s">
        <v>30</v>
      </c>
      <c r="S4" s="10" t="s">
        <v>29</v>
      </c>
      <c r="T4" s="11" t="s">
        <v>30</v>
      </c>
      <c r="U4" s="151"/>
      <c r="V4" s="152"/>
      <c r="W4" s="153"/>
      <c r="X4" s="150"/>
    </row>
    <row r="5" spans="1:24" s="92" customFormat="1" ht="15">
      <c r="A5" s="94" t="s">
        <v>253</v>
      </c>
      <c r="B5" s="94" t="s">
        <v>253</v>
      </c>
      <c r="C5" s="94" t="s">
        <v>675</v>
      </c>
      <c r="D5" s="47">
        <v>383</v>
      </c>
      <c r="E5" s="94" t="s">
        <v>676</v>
      </c>
      <c r="F5" s="77" t="s">
        <v>678</v>
      </c>
      <c r="G5" s="94" t="s">
        <v>36</v>
      </c>
      <c r="H5" s="94" t="s">
        <v>37</v>
      </c>
      <c r="I5" s="94" t="s">
        <v>38</v>
      </c>
      <c r="J5" s="94" t="s">
        <v>109</v>
      </c>
      <c r="K5" s="94" t="s">
        <v>110</v>
      </c>
      <c r="L5" s="90">
        <v>44853</v>
      </c>
      <c r="M5" s="90">
        <v>44854</v>
      </c>
      <c r="N5" s="91">
        <f>1104.62/2</f>
        <v>552.30999999999995</v>
      </c>
      <c r="O5" s="91">
        <f>1104.62/2</f>
        <v>552.30999999999995</v>
      </c>
      <c r="P5" s="70">
        <f>SUM(N5:O5)</f>
        <v>1104.6199999999999</v>
      </c>
      <c r="Q5" s="77">
        <v>2</v>
      </c>
      <c r="R5" s="91">
        <v>120</v>
      </c>
      <c r="S5" s="77">
        <v>0</v>
      </c>
      <c r="T5" s="91">
        <v>0</v>
      </c>
      <c r="U5" s="70">
        <f>Q5*R5+S5*T5</f>
        <v>240</v>
      </c>
      <c r="V5" s="70">
        <f>P5+U5</f>
        <v>1344.62</v>
      </c>
      <c r="W5" s="70">
        <f>V5</f>
        <v>1344.62</v>
      </c>
      <c r="X5" s="77"/>
    </row>
    <row r="6" spans="1:24" s="92" customFormat="1" ht="15">
      <c r="A6" s="94" t="s">
        <v>253</v>
      </c>
      <c r="B6" s="94" t="s">
        <v>322</v>
      </c>
      <c r="C6" s="94" t="s">
        <v>327</v>
      </c>
      <c r="D6" s="47">
        <v>87</v>
      </c>
      <c r="E6" s="94" t="s">
        <v>651</v>
      </c>
      <c r="F6" s="77" t="s">
        <v>678</v>
      </c>
      <c r="G6" s="94" t="s">
        <v>36</v>
      </c>
      <c r="H6" s="94" t="s">
        <v>37</v>
      </c>
      <c r="I6" s="94" t="s">
        <v>38</v>
      </c>
      <c r="J6" s="94" t="s">
        <v>109</v>
      </c>
      <c r="K6" s="94" t="s">
        <v>110</v>
      </c>
      <c r="L6" s="90">
        <v>44853</v>
      </c>
      <c r="M6" s="90">
        <v>44854</v>
      </c>
      <c r="N6" s="91">
        <f>1104.62/2</f>
        <v>552.30999999999995</v>
      </c>
      <c r="O6" s="91">
        <f t="shared" ref="O6:O7" si="0">1104.62/2</f>
        <v>552.30999999999995</v>
      </c>
      <c r="P6" s="70">
        <f t="shared" ref="P6:P7" si="1">SUM(N6:O6)</f>
        <v>1104.6199999999999</v>
      </c>
      <c r="Q6" s="77">
        <v>2</v>
      </c>
      <c r="R6" s="91">
        <v>120</v>
      </c>
      <c r="S6" s="77">
        <v>0</v>
      </c>
      <c r="T6" s="91">
        <v>0</v>
      </c>
      <c r="U6" s="70">
        <f t="shared" ref="U6:U7" si="2">Q6*R6+S6*T6</f>
        <v>240</v>
      </c>
      <c r="V6" s="70">
        <f t="shared" ref="V6:V7" si="3">P6+U6</f>
        <v>1344.62</v>
      </c>
      <c r="W6" s="70">
        <f t="shared" ref="W6:W7" si="4">V6</f>
        <v>1344.62</v>
      </c>
      <c r="X6" s="77"/>
    </row>
    <row r="7" spans="1:24" s="92" customFormat="1" ht="15">
      <c r="A7" s="94" t="s">
        <v>253</v>
      </c>
      <c r="B7" s="94" t="s">
        <v>288</v>
      </c>
      <c r="C7" s="94" t="s">
        <v>237</v>
      </c>
      <c r="D7" s="47">
        <v>82</v>
      </c>
      <c r="E7" s="94" t="s">
        <v>679</v>
      </c>
      <c r="F7" s="77" t="s">
        <v>678</v>
      </c>
      <c r="G7" s="94" t="s">
        <v>36</v>
      </c>
      <c r="H7" s="94" t="s">
        <v>37</v>
      </c>
      <c r="I7" s="94" t="s">
        <v>38</v>
      </c>
      <c r="J7" s="94" t="s">
        <v>109</v>
      </c>
      <c r="K7" s="94" t="s">
        <v>110</v>
      </c>
      <c r="L7" s="90">
        <v>44853</v>
      </c>
      <c r="M7" s="90">
        <v>44854</v>
      </c>
      <c r="N7" s="91">
        <f>1104.62/2</f>
        <v>552.30999999999995</v>
      </c>
      <c r="O7" s="91">
        <f t="shared" si="0"/>
        <v>552.30999999999995</v>
      </c>
      <c r="P7" s="70">
        <f t="shared" si="1"/>
        <v>1104.6199999999999</v>
      </c>
      <c r="Q7" s="77">
        <v>2</v>
      </c>
      <c r="R7" s="91">
        <v>120</v>
      </c>
      <c r="S7" s="77">
        <v>0</v>
      </c>
      <c r="T7" s="91">
        <v>0</v>
      </c>
      <c r="U7" s="70">
        <f t="shared" si="2"/>
        <v>240</v>
      </c>
      <c r="V7" s="70">
        <f t="shared" si="3"/>
        <v>1344.62</v>
      </c>
      <c r="W7" s="70">
        <f t="shared" si="4"/>
        <v>1344.62</v>
      </c>
      <c r="X7" s="77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X11"/>
  <sheetViews>
    <sheetView workbookViewId="0">
      <selection activeCell="B41" sqref="B41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81" bestFit="1" customWidth="1"/>
    <col min="7" max="9" width="9" customWidth="1"/>
    <col min="10" max="10" width="3.375" customWidth="1"/>
    <col min="11" max="11" width="19.75" customWidth="1"/>
    <col min="12" max="13" width="9.875" customWidth="1"/>
    <col min="14" max="16" width="12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6" t="s">
        <v>1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</row>
    <row r="2" spans="1:24" ht="15">
      <c r="A2" s="96" t="s">
        <v>2</v>
      </c>
      <c r="B2" s="96"/>
      <c r="C2" s="96" t="s">
        <v>3</v>
      </c>
      <c r="D2" s="96"/>
      <c r="E2" s="96"/>
      <c r="F2" s="96" t="s">
        <v>4</v>
      </c>
      <c r="G2" s="96"/>
      <c r="H2" s="96"/>
      <c r="I2" s="96"/>
      <c r="J2" s="96"/>
      <c r="K2" s="96"/>
      <c r="L2" s="96"/>
      <c r="M2" s="96"/>
      <c r="N2" s="96" t="s">
        <v>5</v>
      </c>
      <c r="O2" s="96"/>
      <c r="P2" s="96"/>
      <c r="Q2" s="96" t="s">
        <v>6</v>
      </c>
      <c r="R2" s="96"/>
      <c r="S2" s="96"/>
      <c r="T2" s="96"/>
      <c r="U2" s="96"/>
      <c r="V2" s="96"/>
      <c r="W2" s="96" t="s">
        <v>7</v>
      </c>
      <c r="X2" s="149" t="s">
        <v>8</v>
      </c>
    </row>
    <row r="3" spans="1:24" ht="15">
      <c r="A3" s="97" t="s">
        <v>9</v>
      </c>
      <c r="B3" s="97" t="s">
        <v>10</v>
      </c>
      <c r="C3" s="97" t="s">
        <v>11</v>
      </c>
      <c r="D3" s="97" t="s">
        <v>12</v>
      </c>
      <c r="E3" s="97" t="s">
        <v>13</v>
      </c>
      <c r="F3" s="97" t="s">
        <v>14</v>
      </c>
      <c r="G3" s="97" t="s">
        <v>15</v>
      </c>
      <c r="H3" s="97" t="s">
        <v>16</v>
      </c>
      <c r="I3" s="97"/>
      <c r="J3" s="98" t="s">
        <v>17</v>
      </c>
      <c r="K3" s="98"/>
      <c r="L3" s="97" t="s">
        <v>18</v>
      </c>
      <c r="M3" s="97" t="s">
        <v>19</v>
      </c>
      <c r="N3" s="98" t="s">
        <v>20</v>
      </c>
      <c r="O3" s="98" t="s">
        <v>21</v>
      </c>
      <c r="P3" s="98" t="s">
        <v>22</v>
      </c>
      <c r="Q3" s="98" t="s">
        <v>23</v>
      </c>
      <c r="R3" s="98"/>
      <c r="S3" s="98" t="s">
        <v>24</v>
      </c>
      <c r="T3" s="98"/>
      <c r="U3" s="97" t="s">
        <v>25</v>
      </c>
      <c r="V3" s="98" t="s">
        <v>22</v>
      </c>
      <c r="W3" s="96"/>
      <c r="X3" s="149"/>
    </row>
    <row r="4" spans="1:24" ht="15">
      <c r="A4" s="151"/>
      <c r="B4" s="151"/>
      <c r="C4" s="151"/>
      <c r="D4" s="151"/>
      <c r="E4" s="151"/>
      <c r="F4" s="151"/>
      <c r="G4" s="151"/>
      <c r="H4" s="10" t="s">
        <v>26</v>
      </c>
      <c r="I4" s="10" t="s">
        <v>27</v>
      </c>
      <c r="J4" s="10" t="s">
        <v>26</v>
      </c>
      <c r="K4" s="11" t="s">
        <v>28</v>
      </c>
      <c r="L4" s="151"/>
      <c r="M4" s="151"/>
      <c r="N4" s="152"/>
      <c r="O4" s="152"/>
      <c r="P4" s="152"/>
      <c r="Q4" s="10" t="s">
        <v>29</v>
      </c>
      <c r="R4" s="11" t="s">
        <v>30</v>
      </c>
      <c r="S4" s="10" t="s">
        <v>29</v>
      </c>
      <c r="T4" s="11" t="s">
        <v>30</v>
      </c>
      <c r="U4" s="151"/>
      <c r="V4" s="152"/>
      <c r="W4" s="153"/>
      <c r="X4" s="150"/>
    </row>
    <row r="5" spans="1:24" s="92" customFormat="1" ht="15">
      <c r="A5" s="94" t="s">
        <v>231</v>
      </c>
      <c r="B5" s="94" t="s">
        <v>305</v>
      </c>
      <c r="C5" s="94" t="s">
        <v>612</v>
      </c>
      <c r="D5" s="47">
        <v>355</v>
      </c>
      <c r="E5" s="94" t="s">
        <v>308</v>
      </c>
      <c r="F5" s="94" t="s">
        <v>680</v>
      </c>
      <c r="G5" s="94" t="s">
        <v>36</v>
      </c>
      <c r="H5" s="94" t="s">
        <v>37</v>
      </c>
      <c r="I5" s="94" t="s">
        <v>38</v>
      </c>
      <c r="J5" s="94" t="s">
        <v>39</v>
      </c>
      <c r="K5" s="94" t="s">
        <v>40</v>
      </c>
      <c r="L5" s="90">
        <v>44881</v>
      </c>
      <c r="M5" s="90">
        <v>44884</v>
      </c>
      <c r="N5" s="91">
        <v>2113.0300000000002</v>
      </c>
      <c r="O5" s="91">
        <v>2364.62</v>
      </c>
      <c r="P5" s="91">
        <f>SUM(N5:O5)</f>
        <v>4477.6499999999996</v>
      </c>
      <c r="Q5" s="77">
        <v>4</v>
      </c>
      <c r="R5" s="91">
        <v>120</v>
      </c>
      <c r="S5" s="77">
        <v>0</v>
      </c>
      <c r="T5" s="91">
        <v>0</v>
      </c>
      <c r="U5" s="70">
        <f>Q5*R5+S5*T5</f>
        <v>480</v>
      </c>
      <c r="V5" s="70">
        <f>P5+U5</f>
        <v>4957.6499999999996</v>
      </c>
      <c r="W5" s="70">
        <f>V5</f>
        <v>4957.6499999999996</v>
      </c>
      <c r="X5" s="77"/>
    </row>
    <row r="6" spans="1:24" s="92" customFormat="1" ht="15">
      <c r="A6" s="94" t="s">
        <v>231</v>
      </c>
      <c r="B6" s="94" t="s">
        <v>221</v>
      </c>
      <c r="C6" s="94" t="s">
        <v>54</v>
      </c>
      <c r="D6" s="47">
        <v>56</v>
      </c>
      <c r="E6" s="94" t="s">
        <v>610</v>
      </c>
      <c r="F6" s="94" t="s">
        <v>681</v>
      </c>
      <c r="G6" s="94" t="s">
        <v>36</v>
      </c>
      <c r="H6" s="94" t="s">
        <v>37</v>
      </c>
      <c r="I6" s="94" t="s">
        <v>38</v>
      </c>
      <c r="J6" s="94" t="s">
        <v>424</v>
      </c>
      <c r="K6" s="94" t="s">
        <v>427</v>
      </c>
      <c r="L6" s="90">
        <v>44872</v>
      </c>
      <c r="M6" s="90">
        <v>44875</v>
      </c>
      <c r="N6" s="91">
        <f>1908.15/2</f>
        <v>954.07500000000005</v>
      </c>
      <c r="O6" s="91">
        <f>1908.15/2</f>
        <v>954.07500000000005</v>
      </c>
      <c r="P6" s="91">
        <f t="shared" ref="P6:P11" si="0">SUM(N6:O6)</f>
        <v>1908.15</v>
      </c>
      <c r="Q6" s="77">
        <v>10</v>
      </c>
      <c r="R6" s="91">
        <v>120</v>
      </c>
      <c r="S6" s="77">
        <v>0</v>
      </c>
      <c r="T6" s="91">
        <v>0</v>
      </c>
      <c r="U6" s="70">
        <f t="shared" ref="U6:U11" si="1">Q6*R6+S6*T6</f>
        <v>1200</v>
      </c>
      <c r="V6" s="70">
        <f t="shared" ref="V6:V11" si="2">P6+U6</f>
        <v>3108.15</v>
      </c>
      <c r="W6" s="70">
        <f t="shared" ref="W6:W11" si="3">V6</f>
        <v>3108.15</v>
      </c>
      <c r="X6" s="77"/>
    </row>
    <row r="7" spans="1:24" s="92" customFormat="1" ht="15">
      <c r="A7" s="94" t="s">
        <v>231</v>
      </c>
      <c r="B7" s="94" t="s">
        <v>231</v>
      </c>
      <c r="C7" s="94" t="s">
        <v>412</v>
      </c>
      <c r="D7" s="47">
        <v>0</v>
      </c>
      <c r="E7" s="94" t="s">
        <v>562</v>
      </c>
      <c r="F7" s="94" t="s">
        <v>680</v>
      </c>
      <c r="G7" s="94" t="s">
        <v>36</v>
      </c>
      <c r="H7" s="94" t="s">
        <v>37</v>
      </c>
      <c r="I7" s="94" t="s">
        <v>38</v>
      </c>
      <c r="J7" s="94" t="s">
        <v>39</v>
      </c>
      <c r="K7" s="94" t="s">
        <v>40</v>
      </c>
      <c r="L7" s="90">
        <v>44881</v>
      </c>
      <c r="M7" s="90">
        <v>44884</v>
      </c>
      <c r="N7" s="91">
        <v>2113.0300000000002</v>
      </c>
      <c r="O7" s="91">
        <v>2364.62</v>
      </c>
      <c r="P7" s="91">
        <f t="shared" si="0"/>
        <v>4477.6499999999996</v>
      </c>
      <c r="Q7" s="77">
        <v>0</v>
      </c>
      <c r="R7" s="91">
        <v>0</v>
      </c>
      <c r="S7" s="77">
        <v>0</v>
      </c>
      <c r="T7" s="91">
        <v>0</v>
      </c>
      <c r="U7" s="70">
        <f t="shared" si="1"/>
        <v>0</v>
      </c>
      <c r="V7" s="70">
        <f t="shared" si="2"/>
        <v>4477.6499999999996</v>
      </c>
      <c r="W7" s="70">
        <f t="shared" si="3"/>
        <v>4477.6499999999996</v>
      </c>
      <c r="X7" s="77"/>
    </row>
    <row r="8" spans="1:24" s="92" customFormat="1" ht="15">
      <c r="A8" s="94" t="s">
        <v>253</v>
      </c>
      <c r="B8" s="94" t="s">
        <v>212</v>
      </c>
      <c r="C8" s="94" t="s">
        <v>404</v>
      </c>
      <c r="D8" s="47">
        <v>345</v>
      </c>
      <c r="E8" s="94" t="s">
        <v>646</v>
      </c>
      <c r="F8" s="94" t="s">
        <v>682</v>
      </c>
      <c r="G8" s="94" t="s">
        <v>36</v>
      </c>
      <c r="H8" s="94" t="s">
        <v>37</v>
      </c>
      <c r="I8" s="94" t="s">
        <v>38</v>
      </c>
      <c r="J8" s="94" t="s">
        <v>39</v>
      </c>
      <c r="K8" s="94" t="s">
        <v>40</v>
      </c>
      <c r="L8" s="90">
        <v>44873</v>
      </c>
      <c r="M8" s="90">
        <v>44873</v>
      </c>
      <c r="N8" s="91">
        <f>2930.51/2</f>
        <v>1465.2550000000001</v>
      </c>
      <c r="O8" s="91">
        <f>2930.51/2</f>
        <v>1465.2550000000001</v>
      </c>
      <c r="P8" s="91">
        <f t="shared" si="0"/>
        <v>2930.51</v>
      </c>
      <c r="Q8" s="77">
        <v>1</v>
      </c>
      <c r="R8" s="91">
        <v>120</v>
      </c>
      <c r="S8" s="77">
        <v>0</v>
      </c>
      <c r="T8" s="91">
        <v>0</v>
      </c>
      <c r="U8" s="70">
        <f t="shared" si="1"/>
        <v>120</v>
      </c>
      <c r="V8" s="70">
        <f t="shared" si="2"/>
        <v>3050.51</v>
      </c>
      <c r="W8" s="70">
        <f t="shared" si="3"/>
        <v>3050.51</v>
      </c>
      <c r="X8" s="77"/>
    </row>
    <row r="9" spans="1:24" s="92" customFormat="1" ht="15">
      <c r="A9" s="94" t="s">
        <v>371</v>
      </c>
      <c r="B9" s="94" t="s">
        <v>240</v>
      </c>
      <c r="C9" s="94" t="s">
        <v>140</v>
      </c>
      <c r="D9" s="47">
        <v>230</v>
      </c>
      <c r="E9" s="94" t="s">
        <v>142</v>
      </c>
      <c r="F9" s="94" t="s">
        <v>682</v>
      </c>
      <c r="G9" s="94" t="s">
        <v>36</v>
      </c>
      <c r="H9" s="94" t="s">
        <v>37</v>
      </c>
      <c r="I9" s="94" t="s">
        <v>38</v>
      </c>
      <c r="J9" s="94" t="s">
        <v>39</v>
      </c>
      <c r="K9" s="94" t="s">
        <v>40</v>
      </c>
      <c r="L9" s="90">
        <v>44873</v>
      </c>
      <c r="M9" s="90">
        <v>44873</v>
      </c>
      <c r="N9" s="91">
        <f>3433/2</f>
        <v>1716.5</v>
      </c>
      <c r="O9" s="91">
        <f>3433/2</f>
        <v>1716.5</v>
      </c>
      <c r="P9" s="91">
        <f t="shared" si="0"/>
        <v>3433</v>
      </c>
      <c r="Q9" s="77">
        <v>1</v>
      </c>
      <c r="R9" s="91">
        <v>120</v>
      </c>
      <c r="S9" s="77">
        <v>0</v>
      </c>
      <c r="T9" s="91">
        <v>0</v>
      </c>
      <c r="U9" s="70">
        <f t="shared" si="1"/>
        <v>120</v>
      </c>
      <c r="V9" s="70">
        <f t="shared" si="2"/>
        <v>3553</v>
      </c>
      <c r="W9" s="70">
        <f t="shared" si="3"/>
        <v>3553</v>
      </c>
      <c r="X9" s="77"/>
    </row>
    <row r="10" spans="1:24" s="92" customFormat="1" ht="15">
      <c r="A10" s="94" t="s">
        <v>253</v>
      </c>
      <c r="B10" s="94" t="s">
        <v>212</v>
      </c>
      <c r="C10" s="94" t="s">
        <v>620</v>
      </c>
      <c r="D10" s="47">
        <v>365</v>
      </c>
      <c r="E10" s="94" t="s">
        <v>34</v>
      </c>
      <c r="F10" s="94" t="s">
        <v>683</v>
      </c>
      <c r="G10" s="94" t="s">
        <v>36</v>
      </c>
      <c r="H10" s="94" t="s">
        <v>37</v>
      </c>
      <c r="I10" s="94" t="s">
        <v>38</v>
      </c>
      <c r="J10" s="94" t="s">
        <v>37</v>
      </c>
      <c r="K10" s="94" t="s">
        <v>391</v>
      </c>
      <c r="L10" s="90">
        <v>44881</v>
      </c>
      <c r="M10" s="90">
        <v>44882</v>
      </c>
      <c r="N10" s="91">
        <f>2265.36/2</f>
        <v>1132.68</v>
      </c>
      <c r="O10" s="91">
        <f>2265.36/2</f>
        <v>1132.68</v>
      </c>
      <c r="P10" s="91">
        <f t="shared" si="0"/>
        <v>2265.36</v>
      </c>
      <c r="Q10" s="77">
        <v>2</v>
      </c>
      <c r="R10" s="91">
        <v>120</v>
      </c>
      <c r="S10" s="77">
        <v>0</v>
      </c>
      <c r="T10" s="91">
        <v>0</v>
      </c>
      <c r="U10" s="70">
        <f t="shared" si="1"/>
        <v>240</v>
      </c>
      <c r="V10" s="70">
        <f t="shared" si="2"/>
        <v>2505.36</v>
      </c>
      <c r="W10" s="70">
        <f t="shared" si="3"/>
        <v>2505.36</v>
      </c>
      <c r="X10" s="77"/>
    </row>
    <row r="11" spans="1:24" s="92" customFormat="1" ht="15">
      <c r="A11" s="94" t="s">
        <v>253</v>
      </c>
      <c r="B11" s="94" t="s">
        <v>212</v>
      </c>
      <c r="C11" s="94" t="s">
        <v>270</v>
      </c>
      <c r="D11" s="47" t="s">
        <v>168</v>
      </c>
      <c r="E11" s="94" t="s">
        <v>599</v>
      </c>
      <c r="F11" s="94" t="s">
        <v>683</v>
      </c>
      <c r="G11" s="94" t="s">
        <v>36</v>
      </c>
      <c r="H11" s="94" t="s">
        <v>37</v>
      </c>
      <c r="I11" s="94" t="s">
        <v>38</v>
      </c>
      <c r="J11" s="94" t="s">
        <v>37</v>
      </c>
      <c r="K11" s="94" t="s">
        <v>391</v>
      </c>
      <c r="L11" s="90">
        <v>44881</v>
      </c>
      <c r="M11" s="90">
        <v>44882</v>
      </c>
      <c r="N11" s="91">
        <f>2265.36/2</f>
        <v>1132.68</v>
      </c>
      <c r="O11" s="91">
        <f>2265.36/2</f>
        <v>1132.68</v>
      </c>
      <c r="P11" s="91">
        <f t="shared" si="0"/>
        <v>2265.36</v>
      </c>
      <c r="Q11" s="77">
        <v>2</v>
      </c>
      <c r="R11" s="91">
        <v>120</v>
      </c>
      <c r="S11" s="77">
        <v>0</v>
      </c>
      <c r="T11" s="91">
        <v>0</v>
      </c>
      <c r="U11" s="70">
        <f t="shared" si="1"/>
        <v>240</v>
      </c>
      <c r="V11" s="70">
        <f t="shared" si="2"/>
        <v>2505.36</v>
      </c>
      <c r="W11" s="70">
        <f t="shared" si="3"/>
        <v>2505.36</v>
      </c>
      <c r="X11" s="77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X7"/>
  <sheetViews>
    <sheetView workbookViewId="0">
      <selection activeCell="A7" sqref="A7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81" bestFit="1" customWidth="1"/>
    <col min="7" max="9" width="9" customWidth="1"/>
    <col min="10" max="10" width="3.375" customWidth="1"/>
    <col min="11" max="11" width="19.75" customWidth="1"/>
    <col min="12" max="13" width="9.875" customWidth="1"/>
    <col min="14" max="16" width="12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6" t="s">
        <v>1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</row>
    <row r="2" spans="1:24" ht="15">
      <c r="A2" s="96" t="s">
        <v>2</v>
      </c>
      <c r="B2" s="96"/>
      <c r="C2" s="96" t="s">
        <v>3</v>
      </c>
      <c r="D2" s="96"/>
      <c r="E2" s="96"/>
      <c r="F2" s="96" t="s">
        <v>4</v>
      </c>
      <c r="G2" s="96"/>
      <c r="H2" s="96"/>
      <c r="I2" s="96"/>
      <c r="J2" s="96"/>
      <c r="K2" s="96"/>
      <c r="L2" s="96"/>
      <c r="M2" s="96"/>
      <c r="N2" s="96" t="s">
        <v>5</v>
      </c>
      <c r="O2" s="96"/>
      <c r="P2" s="96"/>
      <c r="Q2" s="96" t="s">
        <v>6</v>
      </c>
      <c r="R2" s="96"/>
      <c r="S2" s="96"/>
      <c r="T2" s="96"/>
      <c r="U2" s="96"/>
      <c r="V2" s="96"/>
      <c r="W2" s="96" t="s">
        <v>7</v>
      </c>
      <c r="X2" s="149" t="s">
        <v>8</v>
      </c>
    </row>
    <row r="3" spans="1:24" ht="15">
      <c r="A3" s="97" t="s">
        <v>9</v>
      </c>
      <c r="B3" s="97" t="s">
        <v>10</v>
      </c>
      <c r="C3" s="97" t="s">
        <v>11</v>
      </c>
      <c r="D3" s="97" t="s">
        <v>12</v>
      </c>
      <c r="E3" s="97" t="s">
        <v>13</v>
      </c>
      <c r="F3" s="97" t="s">
        <v>14</v>
      </c>
      <c r="G3" s="97" t="s">
        <v>15</v>
      </c>
      <c r="H3" s="97" t="s">
        <v>16</v>
      </c>
      <c r="I3" s="97"/>
      <c r="J3" s="98" t="s">
        <v>17</v>
      </c>
      <c r="K3" s="98"/>
      <c r="L3" s="97" t="s">
        <v>18</v>
      </c>
      <c r="M3" s="97" t="s">
        <v>19</v>
      </c>
      <c r="N3" s="98" t="s">
        <v>20</v>
      </c>
      <c r="O3" s="98" t="s">
        <v>21</v>
      </c>
      <c r="P3" s="98" t="s">
        <v>22</v>
      </c>
      <c r="Q3" s="98" t="s">
        <v>23</v>
      </c>
      <c r="R3" s="98"/>
      <c r="S3" s="98" t="s">
        <v>24</v>
      </c>
      <c r="T3" s="98"/>
      <c r="U3" s="97" t="s">
        <v>25</v>
      </c>
      <c r="V3" s="98" t="s">
        <v>22</v>
      </c>
      <c r="W3" s="96"/>
      <c r="X3" s="149"/>
    </row>
    <row r="4" spans="1:24" ht="15">
      <c r="A4" s="151"/>
      <c r="B4" s="151"/>
      <c r="C4" s="151"/>
      <c r="D4" s="151"/>
      <c r="E4" s="151"/>
      <c r="F4" s="151"/>
      <c r="G4" s="151"/>
      <c r="H4" s="10" t="s">
        <v>26</v>
      </c>
      <c r="I4" s="10" t="s">
        <v>27</v>
      </c>
      <c r="J4" s="10" t="s">
        <v>26</v>
      </c>
      <c r="K4" s="11" t="s">
        <v>28</v>
      </c>
      <c r="L4" s="151"/>
      <c r="M4" s="151"/>
      <c r="N4" s="152"/>
      <c r="O4" s="152"/>
      <c r="P4" s="152"/>
      <c r="Q4" s="10" t="s">
        <v>29</v>
      </c>
      <c r="R4" s="11" t="s">
        <v>30</v>
      </c>
      <c r="S4" s="10" t="s">
        <v>29</v>
      </c>
      <c r="T4" s="11" t="s">
        <v>30</v>
      </c>
      <c r="U4" s="151"/>
      <c r="V4" s="152"/>
      <c r="W4" s="153"/>
      <c r="X4" s="150"/>
    </row>
    <row r="5" spans="1:24" s="92" customFormat="1" ht="15">
      <c r="A5" s="94" t="s">
        <v>231</v>
      </c>
      <c r="B5" s="94" t="s">
        <v>229</v>
      </c>
      <c r="C5" s="94" t="s">
        <v>586</v>
      </c>
      <c r="D5" s="47">
        <v>357</v>
      </c>
      <c r="E5" s="94" t="s">
        <v>248</v>
      </c>
      <c r="F5" s="94" t="s">
        <v>684</v>
      </c>
      <c r="G5" s="94" t="s">
        <v>36</v>
      </c>
      <c r="H5" s="94" t="s">
        <v>37</v>
      </c>
      <c r="I5" s="94" t="s">
        <v>38</v>
      </c>
      <c r="J5" s="94" t="s">
        <v>39</v>
      </c>
      <c r="K5" s="94" t="s">
        <v>40</v>
      </c>
      <c r="L5" s="90">
        <v>44908</v>
      </c>
      <c r="M5" s="90">
        <v>44910</v>
      </c>
      <c r="N5" s="91">
        <f>1670.62/2</f>
        <v>835.31</v>
      </c>
      <c r="O5" s="91">
        <f>1670.62/2</f>
        <v>835.31</v>
      </c>
      <c r="P5" s="91">
        <f>SUM(N5:O5)</f>
        <v>1670.62</v>
      </c>
      <c r="Q5" s="77">
        <v>3</v>
      </c>
      <c r="R5" s="91">
        <v>120</v>
      </c>
      <c r="S5" s="77">
        <v>0</v>
      </c>
      <c r="T5" s="91">
        <v>0</v>
      </c>
      <c r="U5" s="70">
        <f>Q5*R5+S5*T5</f>
        <v>360</v>
      </c>
      <c r="V5" s="70">
        <f>P5+U5</f>
        <v>2030.62</v>
      </c>
      <c r="W5" s="70">
        <f>V5</f>
        <v>2030.62</v>
      </c>
      <c r="X5" s="77"/>
    </row>
    <row r="6" spans="1:24" s="92" customFormat="1" ht="15">
      <c r="A6" s="94" t="s">
        <v>253</v>
      </c>
      <c r="B6" s="94" t="s">
        <v>234</v>
      </c>
      <c r="C6" s="94" t="s">
        <v>456</v>
      </c>
      <c r="D6" s="47">
        <v>300</v>
      </c>
      <c r="E6" s="94" t="s">
        <v>685</v>
      </c>
      <c r="F6" s="94" t="s">
        <v>686</v>
      </c>
      <c r="G6" s="94" t="s">
        <v>36</v>
      </c>
      <c r="H6" s="94" t="s">
        <v>37</v>
      </c>
      <c r="I6" s="94" t="s">
        <v>38</v>
      </c>
      <c r="J6" s="94" t="s">
        <v>37</v>
      </c>
      <c r="K6" s="94" t="s">
        <v>391</v>
      </c>
      <c r="L6" s="90">
        <v>44899</v>
      </c>
      <c r="M6" s="90">
        <v>44901</v>
      </c>
      <c r="N6" s="91">
        <f>3264.36/2</f>
        <v>1632.18</v>
      </c>
      <c r="O6" s="91">
        <f>3264.36/2</f>
        <v>1632.18</v>
      </c>
      <c r="P6" s="91">
        <f t="shared" ref="P6:P7" si="0">SUM(N6:O6)</f>
        <v>3264.36</v>
      </c>
      <c r="Q6" s="77">
        <v>3</v>
      </c>
      <c r="R6" s="91">
        <v>120</v>
      </c>
      <c r="S6" s="77">
        <v>0</v>
      </c>
      <c r="T6" s="91">
        <v>0</v>
      </c>
      <c r="U6" s="70">
        <f t="shared" ref="U6:U7" si="1">Q6*R6+S6*T6</f>
        <v>360</v>
      </c>
      <c r="V6" s="70">
        <f t="shared" ref="V6:V7" si="2">P6+U6</f>
        <v>3624.36</v>
      </c>
      <c r="W6" s="70">
        <f t="shared" ref="W6:W7" si="3">V6</f>
        <v>3624.36</v>
      </c>
      <c r="X6" s="77"/>
    </row>
    <row r="7" spans="1:24" s="92" customFormat="1" ht="15">
      <c r="A7" s="94" t="s">
        <v>253</v>
      </c>
      <c r="B7" s="94" t="s">
        <v>253</v>
      </c>
      <c r="C7" s="94" t="s">
        <v>387</v>
      </c>
      <c r="D7" s="47"/>
      <c r="E7" s="94" t="s">
        <v>50</v>
      </c>
      <c r="F7" s="94" t="s">
        <v>687</v>
      </c>
      <c r="G7" s="94" t="s">
        <v>36</v>
      </c>
      <c r="H7" s="94" t="s">
        <v>37</v>
      </c>
      <c r="I7" s="94" t="s">
        <v>38</v>
      </c>
      <c r="J7" s="94" t="s">
        <v>127</v>
      </c>
      <c r="K7" s="94" t="s">
        <v>63</v>
      </c>
      <c r="L7" s="90">
        <v>44894</v>
      </c>
      <c r="M7" s="90">
        <v>44898</v>
      </c>
      <c r="N7" s="91">
        <f>1879.42/2</f>
        <v>939.71</v>
      </c>
      <c r="O7" s="91">
        <f>1879.42/2</f>
        <v>939.71</v>
      </c>
      <c r="P7" s="91">
        <f t="shared" si="0"/>
        <v>1879.42</v>
      </c>
      <c r="Q7" s="77">
        <v>0</v>
      </c>
      <c r="R7" s="91">
        <v>0</v>
      </c>
      <c r="S7" s="77">
        <v>0</v>
      </c>
      <c r="T7" s="91">
        <v>0</v>
      </c>
      <c r="U7" s="70">
        <f t="shared" si="1"/>
        <v>0</v>
      </c>
      <c r="V7" s="70">
        <f t="shared" si="2"/>
        <v>1879.42</v>
      </c>
      <c r="W7" s="70">
        <f t="shared" si="3"/>
        <v>1879.42</v>
      </c>
      <c r="X7" s="77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X7"/>
  <sheetViews>
    <sheetView tabSelected="1" topLeftCell="C1" workbookViewId="0">
      <selection activeCell="C5" sqref="C5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81" bestFit="1" customWidth="1"/>
    <col min="7" max="9" width="9" customWidth="1"/>
    <col min="10" max="10" width="3.375" customWidth="1"/>
    <col min="11" max="11" width="19.75" customWidth="1"/>
    <col min="12" max="13" width="9.875" customWidth="1"/>
    <col min="14" max="16" width="12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6" t="s">
        <v>1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</row>
    <row r="2" spans="1:24" ht="15">
      <c r="A2" s="96" t="s">
        <v>2</v>
      </c>
      <c r="B2" s="96"/>
      <c r="C2" s="96" t="s">
        <v>3</v>
      </c>
      <c r="D2" s="96"/>
      <c r="E2" s="96"/>
      <c r="F2" s="96" t="s">
        <v>4</v>
      </c>
      <c r="G2" s="96"/>
      <c r="H2" s="96"/>
      <c r="I2" s="96"/>
      <c r="J2" s="96"/>
      <c r="K2" s="96"/>
      <c r="L2" s="96"/>
      <c r="M2" s="96"/>
      <c r="N2" s="96" t="s">
        <v>5</v>
      </c>
      <c r="O2" s="96"/>
      <c r="P2" s="96"/>
      <c r="Q2" s="96" t="s">
        <v>6</v>
      </c>
      <c r="R2" s="96"/>
      <c r="S2" s="96"/>
      <c r="T2" s="96"/>
      <c r="U2" s="96"/>
      <c r="V2" s="96"/>
      <c r="W2" s="96" t="s">
        <v>7</v>
      </c>
      <c r="X2" s="149" t="s">
        <v>8</v>
      </c>
    </row>
    <row r="3" spans="1:24" ht="15">
      <c r="A3" s="97" t="s">
        <v>9</v>
      </c>
      <c r="B3" s="97" t="s">
        <v>10</v>
      </c>
      <c r="C3" s="97" t="s">
        <v>11</v>
      </c>
      <c r="D3" s="97" t="s">
        <v>12</v>
      </c>
      <c r="E3" s="97" t="s">
        <v>13</v>
      </c>
      <c r="F3" s="97" t="s">
        <v>14</v>
      </c>
      <c r="G3" s="97" t="s">
        <v>15</v>
      </c>
      <c r="H3" s="97" t="s">
        <v>16</v>
      </c>
      <c r="I3" s="97"/>
      <c r="J3" s="98" t="s">
        <v>17</v>
      </c>
      <c r="K3" s="98"/>
      <c r="L3" s="97" t="s">
        <v>18</v>
      </c>
      <c r="M3" s="97" t="s">
        <v>19</v>
      </c>
      <c r="N3" s="98" t="s">
        <v>20</v>
      </c>
      <c r="O3" s="98" t="s">
        <v>21</v>
      </c>
      <c r="P3" s="98" t="s">
        <v>22</v>
      </c>
      <c r="Q3" s="98" t="s">
        <v>23</v>
      </c>
      <c r="R3" s="98"/>
      <c r="S3" s="98" t="s">
        <v>24</v>
      </c>
      <c r="T3" s="98"/>
      <c r="U3" s="97" t="s">
        <v>25</v>
      </c>
      <c r="V3" s="98" t="s">
        <v>22</v>
      </c>
      <c r="W3" s="96"/>
      <c r="X3" s="149"/>
    </row>
    <row r="4" spans="1:24" ht="15">
      <c r="A4" s="151"/>
      <c r="B4" s="151"/>
      <c r="C4" s="151"/>
      <c r="D4" s="151"/>
      <c r="E4" s="151"/>
      <c r="F4" s="151"/>
      <c r="G4" s="151"/>
      <c r="H4" s="10" t="s">
        <v>26</v>
      </c>
      <c r="I4" s="10" t="s">
        <v>27</v>
      </c>
      <c r="J4" s="10" t="s">
        <v>26</v>
      </c>
      <c r="K4" s="11" t="s">
        <v>28</v>
      </c>
      <c r="L4" s="151"/>
      <c r="M4" s="151"/>
      <c r="N4" s="152"/>
      <c r="O4" s="152"/>
      <c r="P4" s="152"/>
      <c r="Q4" s="10" t="s">
        <v>29</v>
      </c>
      <c r="R4" s="11" t="s">
        <v>30</v>
      </c>
      <c r="S4" s="10" t="s">
        <v>29</v>
      </c>
      <c r="T4" s="11" t="s">
        <v>30</v>
      </c>
      <c r="U4" s="151"/>
      <c r="V4" s="152"/>
      <c r="W4" s="153"/>
      <c r="X4" s="150"/>
    </row>
    <row r="5" spans="1:24" s="92" customFormat="1" ht="15">
      <c r="A5" s="94"/>
      <c r="B5" s="94"/>
      <c r="C5" s="95" t="s">
        <v>688</v>
      </c>
      <c r="D5" s="47"/>
      <c r="E5" s="94"/>
      <c r="F5" s="94"/>
      <c r="G5" s="94"/>
      <c r="H5" s="94"/>
      <c r="I5" s="94"/>
      <c r="J5" s="94"/>
      <c r="K5" s="94"/>
      <c r="L5" s="90"/>
      <c r="M5" s="90"/>
      <c r="N5" s="91"/>
      <c r="O5" s="91"/>
      <c r="P5" s="91">
        <f>SUM(N5:O5)</f>
        <v>0</v>
      </c>
      <c r="Q5" s="77">
        <v>0</v>
      </c>
      <c r="R5" s="91">
        <v>0</v>
      </c>
      <c r="S5" s="77">
        <v>0</v>
      </c>
      <c r="T5" s="91">
        <v>0</v>
      </c>
      <c r="U5" s="70">
        <f>Q5*R5+S5*T5</f>
        <v>0</v>
      </c>
      <c r="V5" s="70">
        <f>P5+U5</f>
        <v>0</v>
      </c>
      <c r="W5" s="70">
        <f>V5</f>
        <v>0</v>
      </c>
      <c r="X5" s="77"/>
    </row>
    <row r="6" spans="1:24" s="92" customFormat="1" ht="15">
      <c r="A6" s="94"/>
      <c r="B6" s="94"/>
      <c r="C6" s="94"/>
      <c r="D6" s="47"/>
      <c r="E6" s="94"/>
      <c r="F6" s="94"/>
      <c r="G6" s="94"/>
      <c r="H6" s="94"/>
      <c r="I6" s="94"/>
      <c r="J6" s="94"/>
      <c r="K6" s="94"/>
      <c r="L6" s="90"/>
      <c r="M6" s="90"/>
      <c r="N6" s="91"/>
      <c r="O6" s="91"/>
      <c r="P6" s="91">
        <f t="shared" ref="P6:P7" si="0">SUM(N6:O6)</f>
        <v>0</v>
      </c>
      <c r="Q6" s="77">
        <v>0</v>
      </c>
      <c r="R6" s="91">
        <v>0</v>
      </c>
      <c r="S6" s="77">
        <v>0</v>
      </c>
      <c r="T6" s="91">
        <v>0</v>
      </c>
      <c r="U6" s="70">
        <f t="shared" ref="U6:U7" si="1">Q6*R6+S6*T6</f>
        <v>0</v>
      </c>
      <c r="V6" s="70">
        <f t="shared" ref="V6:V7" si="2">P6+U6</f>
        <v>0</v>
      </c>
      <c r="W6" s="70">
        <f t="shared" ref="W6:W7" si="3">V6</f>
        <v>0</v>
      </c>
      <c r="X6" s="77"/>
    </row>
    <row r="7" spans="1:24" s="92" customFormat="1" ht="15">
      <c r="A7" s="94"/>
      <c r="B7" s="94"/>
      <c r="C7" s="94"/>
      <c r="D7" s="47"/>
      <c r="E7" s="94"/>
      <c r="F7" s="94"/>
      <c r="G7" s="94"/>
      <c r="H7" s="94"/>
      <c r="I7" s="94"/>
      <c r="J7" s="94"/>
      <c r="K7" s="94"/>
      <c r="L7" s="90"/>
      <c r="M7" s="90"/>
      <c r="N7" s="91"/>
      <c r="O7" s="91"/>
      <c r="P7" s="91">
        <f t="shared" si="0"/>
        <v>0</v>
      </c>
      <c r="Q7" s="77">
        <v>0</v>
      </c>
      <c r="R7" s="91">
        <v>0</v>
      </c>
      <c r="S7" s="77">
        <v>0</v>
      </c>
      <c r="T7" s="91">
        <v>0</v>
      </c>
      <c r="U7" s="70">
        <f t="shared" si="1"/>
        <v>0</v>
      </c>
      <c r="V7" s="70">
        <f t="shared" si="2"/>
        <v>0</v>
      </c>
      <c r="W7" s="70">
        <f t="shared" si="3"/>
        <v>0</v>
      </c>
      <c r="X7" s="77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"/>
  <sheetViews>
    <sheetView workbookViewId="0"/>
  </sheetViews>
  <sheetFormatPr defaultRowHeight="14.25"/>
  <sheetData/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29"/>
  <sheetViews>
    <sheetView workbookViewId="0">
      <selection activeCell="D11" sqref="D11:E11"/>
    </sheetView>
  </sheetViews>
  <sheetFormatPr defaultRowHeight="15" customHeight="1"/>
  <cols>
    <col min="1" max="1" width="8.6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62" t="s">
        <v>0</v>
      </c>
      <c r="W5" s="162"/>
      <c r="X5" s="8">
        <v>43101</v>
      </c>
    </row>
    <row r="6" spans="1:24">
      <c r="A6" s="96" t="s">
        <v>1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</row>
    <row r="7" spans="1:24">
      <c r="A7" s="96" t="s">
        <v>2</v>
      </c>
      <c r="B7" s="96"/>
      <c r="C7" s="96" t="s">
        <v>3</v>
      </c>
      <c r="D7" s="96"/>
      <c r="E7" s="96"/>
      <c r="F7" s="96" t="s">
        <v>4</v>
      </c>
      <c r="G7" s="96"/>
      <c r="H7" s="96"/>
      <c r="I7" s="96"/>
      <c r="J7" s="96"/>
      <c r="K7" s="96"/>
      <c r="L7" s="96"/>
      <c r="M7" s="96"/>
      <c r="N7" s="96" t="s">
        <v>5</v>
      </c>
      <c r="O7" s="96"/>
      <c r="P7" s="96"/>
      <c r="Q7" s="96" t="s">
        <v>6</v>
      </c>
      <c r="R7" s="96"/>
      <c r="S7" s="96"/>
      <c r="T7" s="96"/>
      <c r="U7" s="96"/>
      <c r="V7" s="96"/>
      <c r="W7" s="96" t="s">
        <v>7</v>
      </c>
      <c r="X7" s="96" t="s">
        <v>8</v>
      </c>
    </row>
    <row r="8" spans="1:24" s="9" customFormat="1">
      <c r="A8" s="97" t="s">
        <v>9</v>
      </c>
      <c r="B8" s="97" t="s">
        <v>10</v>
      </c>
      <c r="C8" s="97" t="s">
        <v>11</v>
      </c>
      <c r="D8" s="97" t="s">
        <v>12</v>
      </c>
      <c r="E8" s="97" t="s">
        <v>13</v>
      </c>
      <c r="F8" s="97" t="s">
        <v>14</v>
      </c>
      <c r="G8" s="97" t="s">
        <v>15</v>
      </c>
      <c r="H8" s="97" t="s">
        <v>16</v>
      </c>
      <c r="I8" s="97"/>
      <c r="J8" s="98" t="s">
        <v>17</v>
      </c>
      <c r="K8" s="98"/>
      <c r="L8" s="97" t="s">
        <v>18</v>
      </c>
      <c r="M8" s="97" t="s">
        <v>19</v>
      </c>
      <c r="N8" s="98" t="s">
        <v>20</v>
      </c>
      <c r="O8" s="98" t="s">
        <v>21</v>
      </c>
      <c r="P8" s="98" t="s">
        <v>22</v>
      </c>
      <c r="Q8" s="98" t="s">
        <v>23</v>
      </c>
      <c r="R8" s="98"/>
      <c r="S8" s="98" t="s">
        <v>24</v>
      </c>
      <c r="T8" s="98"/>
      <c r="U8" s="97" t="s">
        <v>25</v>
      </c>
      <c r="V8" s="98" t="s">
        <v>22</v>
      </c>
      <c r="W8" s="96"/>
      <c r="X8" s="96"/>
    </row>
    <row r="9" spans="1:24" s="9" customFormat="1">
      <c r="A9" s="97"/>
      <c r="B9" s="97"/>
      <c r="C9" s="97"/>
      <c r="D9" s="97"/>
      <c r="E9" s="97"/>
      <c r="F9" s="97"/>
      <c r="G9" s="97"/>
      <c r="H9" s="10" t="s">
        <v>26</v>
      </c>
      <c r="I9" s="10" t="s">
        <v>27</v>
      </c>
      <c r="J9" s="10" t="s">
        <v>26</v>
      </c>
      <c r="K9" s="11" t="s">
        <v>28</v>
      </c>
      <c r="L9" s="97"/>
      <c r="M9" s="97"/>
      <c r="N9" s="98"/>
      <c r="O9" s="98"/>
      <c r="P9" s="98"/>
      <c r="Q9" s="10" t="s">
        <v>29</v>
      </c>
      <c r="R9" s="11" t="s">
        <v>30</v>
      </c>
      <c r="S9" s="10" t="s">
        <v>29</v>
      </c>
      <c r="T9" s="11" t="s">
        <v>30</v>
      </c>
      <c r="U9" s="97"/>
      <c r="V9" s="98"/>
      <c r="W9" s="96"/>
      <c r="X9" s="96"/>
    </row>
    <row r="10" spans="1:24" ht="25.5">
      <c r="A10" s="27" t="s">
        <v>52</v>
      </c>
      <c r="B10" s="34" t="s">
        <v>52</v>
      </c>
      <c r="C10" s="34" t="s">
        <v>86</v>
      </c>
      <c r="D10" s="29" t="s">
        <v>107</v>
      </c>
      <c r="E10" s="20" t="s">
        <v>87</v>
      </c>
      <c r="F10" s="34" t="s">
        <v>222</v>
      </c>
      <c r="G10" s="30" t="s">
        <v>36</v>
      </c>
      <c r="H10" s="27" t="s">
        <v>37</v>
      </c>
      <c r="I10" s="27" t="s">
        <v>38</v>
      </c>
      <c r="J10" s="27" t="s">
        <v>148</v>
      </c>
      <c r="K10" s="31" t="s">
        <v>149</v>
      </c>
      <c r="L10" s="35">
        <v>43104</v>
      </c>
      <c r="M10" s="35">
        <v>43104</v>
      </c>
      <c r="N10" s="31">
        <f>1018.78/2</f>
        <v>509.39</v>
      </c>
      <c r="O10" s="31">
        <f>1018.78/2</f>
        <v>509.39</v>
      </c>
      <c r="P10" s="31">
        <f t="shared" ref="P10:P29" si="0">N10+O10</f>
        <v>1018.78</v>
      </c>
      <c r="Q10" s="27"/>
      <c r="R10" s="31"/>
      <c r="S10" s="27"/>
      <c r="T10" s="31"/>
      <c r="U10" s="32">
        <f t="shared" ref="U10:U29" si="1">(Q10*R10)+(S10*T10)</f>
        <v>0</v>
      </c>
      <c r="V10" s="31">
        <f t="shared" ref="V10:V29" si="2">P10+U10</f>
        <v>1018.78</v>
      </c>
      <c r="W10" s="31">
        <f t="shared" ref="W10:W29" si="3">V10</f>
        <v>1018.78</v>
      </c>
      <c r="X10" s="28"/>
    </row>
    <row r="11" spans="1:24" ht="38.25">
      <c r="A11" s="27" t="s">
        <v>44</v>
      </c>
      <c r="B11" s="34" t="s">
        <v>44</v>
      </c>
      <c r="C11" s="27" t="s">
        <v>79</v>
      </c>
      <c r="D11" s="29" t="s">
        <v>107</v>
      </c>
      <c r="E11" s="20" t="s">
        <v>80</v>
      </c>
      <c r="F11" s="34" t="s">
        <v>222</v>
      </c>
      <c r="G11" s="30" t="s">
        <v>36</v>
      </c>
      <c r="H11" s="27" t="s">
        <v>37</v>
      </c>
      <c r="I11" s="27" t="s">
        <v>38</v>
      </c>
      <c r="J11" s="27" t="s">
        <v>148</v>
      </c>
      <c r="K11" s="31" t="s">
        <v>149</v>
      </c>
      <c r="L11" s="35">
        <v>43104</v>
      </c>
      <c r="M11" s="35">
        <v>43104</v>
      </c>
      <c r="N11" s="31">
        <f>1046.12/2</f>
        <v>523.05999999999995</v>
      </c>
      <c r="O11" s="31">
        <f>1046.12/2</f>
        <v>523.05999999999995</v>
      </c>
      <c r="P11" s="31">
        <f t="shared" si="0"/>
        <v>1046.1199999999999</v>
      </c>
      <c r="Q11" s="27"/>
      <c r="R11" s="31"/>
      <c r="S11" s="27"/>
      <c r="T11" s="31"/>
      <c r="U11" s="32">
        <f t="shared" si="1"/>
        <v>0</v>
      </c>
      <c r="V11" s="31">
        <f t="shared" si="2"/>
        <v>1046.1199999999999</v>
      </c>
      <c r="W11" s="31">
        <f t="shared" si="3"/>
        <v>1046.1199999999999</v>
      </c>
      <c r="X11" s="33"/>
    </row>
    <row r="12" spans="1:24" ht="25.5">
      <c r="A12" s="27" t="s">
        <v>31</v>
      </c>
      <c r="B12" s="34" t="s">
        <v>31</v>
      </c>
      <c r="C12" s="27" t="s">
        <v>223</v>
      </c>
      <c r="D12" s="29" t="s">
        <v>107</v>
      </c>
      <c r="E12" s="20" t="s">
        <v>50</v>
      </c>
      <c r="F12" s="34" t="s">
        <v>224</v>
      </c>
      <c r="G12" s="30" t="s">
        <v>36</v>
      </c>
      <c r="H12" s="27" t="s">
        <v>37</v>
      </c>
      <c r="I12" s="27" t="s">
        <v>38</v>
      </c>
      <c r="J12" s="27" t="s">
        <v>39</v>
      </c>
      <c r="K12" s="31" t="s">
        <v>40</v>
      </c>
      <c r="L12" s="35">
        <v>43125</v>
      </c>
      <c r="M12" s="35">
        <v>43125</v>
      </c>
      <c r="N12" s="31">
        <f>991.86/2</f>
        <v>495.93</v>
      </c>
      <c r="O12" s="31">
        <f>991.86/2</f>
        <v>495.93</v>
      </c>
      <c r="P12" s="31">
        <f t="shared" si="0"/>
        <v>991.86</v>
      </c>
      <c r="Q12" s="27"/>
      <c r="R12" s="31"/>
      <c r="S12" s="27"/>
      <c r="T12" s="31"/>
      <c r="U12" s="32">
        <f t="shared" si="1"/>
        <v>0</v>
      </c>
      <c r="V12" s="31">
        <f t="shared" si="2"/>
        <v>991.86</v>
      </c>
      <c r="W12" s="31">
        <f t="shared" si="3"/>
        <v>991.86</v>
      </c>
      <c r="X12" s="33"/>
    </row>
    <row r="13" spans="1:24" ht="25.5">
      <c r="A13" s="27" t="s">
        <v>52</v>
      </c>
      <c r="B13" s="27" t="s">
        <v>52</v>
      </c>
      <c r="C13" s="27" t="s">
        <v>86</v>
      </c>
      <c r="D13" s="29" t="s">
        <v>107</v>
      </c>
      <c r="E13" s="20" t="s">
        <v>87</v>
      </c>
      <c r="F13" s="34" t="s">
        <v>161</v>
      </c>
      <c r="G13" s="30" t="s">
        <v>36</v>
      </c>
      <c r="H13" s="27" t="s">
        <v>37</v>
      </c>
      <c r="I13" s="27" t="s">
        <v>38</v>
      </c>
      <c r="J13" s="27" t="s">
        <v>39</v>
      </c>
      <c r="K13" s="31" t="s">
        <v>40</v>
      </c>
      <c r="L13" s="35">
        <v>43125</v>
      </c>
      <c r="M13" s="35">
        <v>43125</v>
      </c>
      <c r="N13" s="31">
        <f>910.48/2</f>
        <v>455.24</v>
      </c>
      <c r="O13" s="31">
        <f>910.48/2</f>
        <v>455.24</v>
      </c>
      <c r="P13" s="31">
        <f t="shared" si="0"/>
        <v>910.48</v>
      </c>
      <c r="Q13" s="27"/>
      <c r="R13" s="31"/>
      <c r="S13" s="27"/>
      <c r="T13" s="31"/>
      <c r="U13" s="32">
        <f t="shared" si="1"/>
        <v>0</v>
      </c>
      <c r="V13" s="31">
        <f t="shared" si="2"/>
        <v>910.48</v>
      </c>
      <c r="W13" s="31">
        <f t="shared" si="3"/>
        <v>910.48</v>
      </c>
      <c r="X13" s="33"/>
    </row>
    <row r="14" spans="1:24" ht="14.25">
      <c r="A14" s="27"/>
      <c r="B14" s="34"/>
      <c r="C14" s="27"/>
      <c r="D14" s="26"/>
      <c r="E14" s="14"/>
      <c r="F14" s="34"/>
      <c r="G14" s="30"/>
      <c r="H14" s="27"/>
      <c r="I14" s="27"/>
      <c r="J14" s="27"/>
      <c r="K14" s="31"/>
      <c r="L14" s="35"/>
      <c r="M14" s="35"/>
      <c r="N14" s="31"/>
      <c r="O14" s="31"/>
      <c r="P14" s="31">
        <f t="shared" si="0"/>
        <v>0</v>
      </c>
      <c r="Q14" s="27"/>
      <c r="R14" s="31"/>
      <c r="S14" s="27"/>
      <c r="T14" s="31"/>
      <c r="U14" s="32">
        <f t="shared" si="1"/>
        <v>0</v>
      </c>
      <c r="V14" s="31">
        <f t="shared" si="2"/>
        <v>0</v>
      </c>
      <c r="W14" s="31">
        <f t="shared" si="3"/>
        <v>0</v>
      </c>
      <c r="X14" s="33"/>
    </row>
    <row r="15" spans="1:24" ht="14.25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1"/>
        <v>0</v>
      </c>
      <c r="V15" s="31">
        <f t="shared" si="2"/>
        <v>0</v>
      </c>
      <c r="W15" s="31">
        <f t="shared" si="3"/>
        <v>0</v>
      </c>
      <c r="X15" s="33"/>
    </row>
    <row r="16" spans="1:24" ht="14.25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1"/>
        <v>0</v>
      </c>
      <c r="V16" s="31">
        <f t="shared" si="2"/>
        <v>0</v>
      </c>
      <c r="W16" s="31">
        <f t="shared" si="3"/>
        <v>0</v>
      </c>
      <c r="X16" s="33"/>
    </row>
    <row r="17" spans="1:24" ht="14.25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1"/>
        <v>0</v>
      </c>
      <c r="V17" s="31">
        <f t="shared" si="2"/>
        <v>0</v>
      </c>
      <c r="W17" s="31">
        <f t="shared" si="3"/>
        <v>0</v>
      </c>
      <c r="X17" s="33"/>
    </row>
    <row r="18" spans="1:24" ht="14.25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1"/>
        <v>0</v>
      </c>
      <c r="V18" s="31">
        <f t="shared" si="2"/>
        <v>0</v>
      </c>
      <c r="W18" s="31">
        <f t="shared" si="3"/>
        <v>0</v>
      </c>
      <c r="X18" s="33"/>
    </row>
    <row r="19" spans="1:24" ht="14.25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1"/>
        <v>0</v>
      </c>
      <c r="V19" s="31">
        <f t="shared" si="2"/>
        <v>0</v>
      </c>
      <c r="W19" s="31">
        <f t="shared" si="3"/>
        <v>0</v>
      </c>
      <c r="X19" s="33"/>
    </row>
    <row r="20" spans="1:24" ht="14.25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1"/>
        <v>0</v>
      </c>
      <c r="V20" s="31">
        <f t="shared" si="2"/>
        <v>0</v>
      </c>
      <c r="W20" s="31">
        <f t="shared" si="3"/>
        <v>0</v>
      </c>
      <c r="X20" s="33"/>
    </row>
    <row r="21" spans="1:24" ht="14.25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1"/>
        <v>0</v>
      </c>
      <c r="V21" s="31">
        <f t="shared" si="2"/>
        <v>0</v>
      </c>
      <c r="W21" s="31">
        <f t="shared" si="3"/>
        <v>0</v>
      </c>
      <c r="X21" s="33"/>
    </row>
    <row r="22" spans="1:24" ht="14.25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1"/>
        <v>0</v>
      </c>
      <c r="V22" s="31">
        <f t="shared" si="2"/>
        <v>0</v>
      </c>
      <c r="W22" s="31">
        <f t="shared" si="3"/>
        <v>0</v>
      </c>
      <c r="X22" s="33"/>
    </row>
    <row r="23" spans="1:24" ht="14.25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1"/>
        <v>0</v>
      </c>
      <c r="V23" s="31">
        <f t="shared" si="2"/>
        <v>0</v>
      </c>
      <c r="W23" s="31">
        <f t="shared" si="3"/>
        <v>0</v>
      </c>
      <c r="X23" s="33"/>
    </row>
    <row r="24" spans="1:24" ht="14.25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1"/>
        <v>0</v>
      </c>
      <c r="V24" s="31">
        <f t="shared" si="2"/>
        <v>0</v>
      </c>
      <c r="W24" s="31">
        <f t="shared" si="3"/>
        <v>0</v>
      </c>
      <c r="X24" s="33"/>
    </row>
    <row r="25" spans="1:24" ht="14.25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1"/>
        <v>0</v>
      </c>
      <c r="V25" s="31">
        <f t="shared" si="2"/>
        <v>0</v>
      </c>
      <c r="W25" s="31">
        <f t="shared" si="3"/>
        <v>0</v>
      </c>
      <c r="X25" s="33"/>
    </row>
    <row r="26" spans="1:24" ht="14.25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1"/>
        <v>0</v>
      </c>
      <c r="V26" s="31">
        <f t="shared" si="2"/>
        <v>0</v>
      </c>
      <c r="W26" s="31">
        <f t="shared" si="3"/>
        <v>0</v>
      </c>
      <c r="X26" s="33"/>
    </row>
    <row r="27" spans="1:24" ht="14.25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1"/>
        <v>0</v>
      </c>
      <c r="V27" s="31">
        <f t="shared" si="2"/>
        <v>0</v>
      </c>
      <c r="W27" s="31">
        <f t="shared" si="3"/>
        <v>0</v>
      </c>
      <c r="X27" s="33"/>
    </row>
    <row r="28" spans="1:24" ht="14.25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1"/>
        <v>0</v>
      </c>
      <c r="V28" s="31">
        <f t="shared" si="2"/>
        <v>0</v>
      </c>
      <c r="W28" s="31">
        <f t="shared" si="3"/>
        <v>0</v>
      </c>
      <c r="X28" s="33"/>
    </row>
    <row r="29" spans="1:24" ht="14.25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1"/>
        <v>0</v>
      </c>
      <c r="V29" s="31">
        <f t="shared" si="2"/>
        <v>0</v>
      </c>
      <c r="W29" s="31">
        <f t="shared" si="3"/>
        <v>0</v>
      </c>
      <c r="X29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14"/>
  <sheetViews>
    <sheetView workbookViewId="0">
      <selection activeCell="A13" sqref="A13:B13"/>
    </sheetView>
  </sheetViews>
  <sheetFormatPr defaultRowHeight="15" customHeight="1"/>
  <cols>
    <col min="1" max="1" width="19.1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62" t="s">
        <v>0</v>
      </c>
      <c r="W5" s="162"/>
      <c r="X5" s="8">
        <v>43160</v>
      </c>
    </row>
    <row r="6" spans="1:24">
      <c r="A6" s="96" t="s">
        <v>1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</row>
    <row r="7" spans="1:24">
      <c r="A7" s="96" t="s">
        <v>2</v>
      </c>
      <c r="B7" s="96"/>
      <c r="C7" s="96" t="s">
        <v>3</v>
      </c>
      <c r="D7" s="96"/>
      <c r="E7" s="96"/>
      <c r="F7" s="96" t="s">
        <v>4</v>
      </c>
      <c r="G7" s="96"/>
      <c r="H7" s="96"/>
      <c r="I7" s="96"/>
      <c r="J7" s="96"/>
      <c r="K7" s="96"/>
      <c r="L7" s="96"/>
      <c r="M7" s="96"/>
      <c r="N7" s="96" t="s">
        <v>5</v>
      </c>
      <c r="O7" s="96"/>
      <c r="P7" s="96"/>
      <c r="Q7" s="96" t="s">
        <v>6</v>
      </c>
      <c r="R7" s="96"/>
      <c r="S7" s="96"/>
      <c r="T7" s="96"/>
      <c r="U7" s="96"/>
      <c r="V7" s="96"/>
      <c r="W7" s="96" t="s">
        <v>7</v>
      </c>
      <c r="X7" s="96" t="s">
        <v>8</v>
      </c>
    </row>
    <row r="8" spans="1:24" s="9" customFormat="1">
      <c r="A8" s="97" t="s">
        <v>9</v>
      </c>
      <c r="B8" s="97" t="s">
        <v>10</v>
      </c>
      <c r="C8" s="97" t="s">
        <v>11</v>
      </c>
      <c r="D8" s="97" t="s">
        <v>12</v>
      </c>
      <c r="E8" s="97" t="s">
        <v>13</v>
      </c>
      <c r="F8" s="97" t="s">
        <v>14</v>
      </c>
      <c r="G8" s="97" t="s">
        <v>15</v>
      </c>
      <c r="H8" s="97" t="s">
        <v>16</v>
      </c>
      <c r="I8" s="97"/>
      <c r="J8" s="98" t="s">
        <v>17</v>
      </c>
      <c r="K8" s="98"/>
      <c r="L8" s="97" t="s">
        <v>18</v>
      </c>
      <c r="M8" s="97" t="s">
        <v>19</v>
      </c>
      <c r="N8" s="98" t="s">
        <v>20</v>
      </c>
      <c r="O8" s="98" t="s">
        <v>21</v>
      </c>
      <c r="P8" s="98" t="s">
        <v>22</v>
      </c>
      <c r="Q8" s="98" t="s">
        <v>23</v>
      </c>
      <c r="R8" s="98"/>
      <c r="S8" s="98" t="s">
        <v>24</v>
      </c>
      <c r="T8" s="98"/>
      <c r="U8" s="97" t="s">
        <v>25</v>
      </c>
      <c r="V8" s="98" t="s">
        <v>22</v>
      </c>
      <c r="W8" s="96"/>
      <c r="X8" s="96"/>
    </row>
    <row r="9" spans="1:24" s="9" customFormat="1" ht="17.25" customHeight="1">
      <c r="A9" s="97"/>
      <c r="B9" s="97"/>
      <c r="C9" s="97"/>
      <c r="D9" s="97"/>
      <c r="E9" s="97"/>
      <c r="F9" s="97"/>
      <c r="G9" s="97"/>
      <c r="H9" s="10" t="s">
        <v>26</v>
      </c>
      <c r="I9" s="10" t="s">
        <v>27</v>
      </c>
      <c r="J9" s="10" t="s">
        <v>26</v>
      </c>
      <c r="K9" s="11" t="s">
        <v>28</v>
      </c>
      <c r="L9" s="97"/>
      <c r="M9" s="97"/>
      <c r="N9" s="98"/>
      <c r="O9" s="98"/>
      <c r="P9" s="98"/>
      <c r="Q9" s="10" t="s">
        <v>29</v>
      </c>
      <c r="R9" s="11" t="s">
        <v>30</v>
      </c>
      <c r="S9" s="10" t="s">
        <v>29</v>
      </c>
      <c r="T9" s="11" t="s">
        <v>30</v>
      </c>
      <c r="U9" s="97"/>
      <c r="V9" s="98"/>
      <c r="W9" s="96"/>
      <c r="X9" s="96"/>
    </row>
    <row r="10" spans="1:24" ht="47.25" customHeight="1">
      <c r="A10" s="34" t="s">
        <v>225</v>
      </c>
      <c r="B10" s="34" t="s">
        <v>226</v>
      </c>
      <c r="C10" s="34" t="s">
        <v>46</v>
      </c>
      <c r="D10" s="29" t="s">
        <v>69</v>
      </c>
      <c r="E10" s="20" t="s">
        <v>47</v>
      </c>
      <c r="F10" s="34" t="s">
        <v>227</v>
      </c>
      <c r="G10" s="30" t="s">
        <v>36</v>
      </c>
      <c r="H10" s="27" t="s">
        <v>37</v>
      </c>
      <c r="I10" s="27" t="s">
        <v>38</v>
      </c>
      <c r="J10" s="27" t="s">
        <v>39</v>
      </c>
      <c r="K10" s="31" t="s">
        <v>40</v>
      </c>
      <c r="L10" s="35">
        <v>43179</v>
      </c>
      <c r="M10" s="35">
        <v>43181</v>
      </c>
      <c r="N10" s="31">
        <f>813.71/2</f>
        <v>406.85500000000002</v>
      </c>
      <c r="O10" s="31">
        <f>813.71/2</f>
        <v>406.85500000000002</v>
      </c>
      <c r="P10" s="31">
        <f t="shared" ref="P10:P14" si="0">N10+O10</f>
        <v>813.71</v>
      </c>
      <c r="Q10" s="27">
        <v>6</v>
      </c>
      <c r="R10" s="31">
        <v>120</v>
      </c>
      <c r="S10" s="27"/>
      <c r="T10" s="31"/>
      <c r="U10" s="32">
        <f t="shared" ref="U10:U14" si="1">(Q10*R10)+(S10*T10)</f>
        <v>720</v>
      </c>
      <c r="V10" s="31">
        <f t="shared" ref="V10:V14" si="2">P10+U10</f>
        <v>1533.71</v>
      </c>
      <c r="W10" s="31">
        <f t="shared" ref="W10:W14" si="3">V10</f>
        <v>1533.71</v>
      </c>
      <c r="X10" s="28"/>
    </row>
    <row r="11" spans="1:24" ht="63.75">
      <c r="A11" s="34" t="s">
        <v>228</v>
      </c>
      <c r="B11" s="34" t="s">
        <v>229</v>
      </c>
      <c r="C11" s="27" t="s">
        <v>118</v>
      </c>
      <c r="D11" s="29" t="s">
        <v>119</v>
      </c>
      <c r="E11" s="20" t="s">
        <v>120</v>
      </c>
      <c r="F11" s="34" t="s">
        <v>230</v>
      </c>
      <c r="G11" s="30" t="s">
        <v>36</v>
      </c>
      <c r="H11" s="27" t="s">
        <v>37</v>
      </c>
      <c r="I11" s="27" t="s">
        <v>38</v>
      </c>
      <c r="J11" s="27" t="s">
        <v>39</v>
      </c>
      <c r="K11" s="31" t="s">
        <v>40</v>
      </c>
      <c r="L11" s="35">
        <v>43173</v>
      </c>
      <c r="M11" s="35">
        <v>43175</v>
      </c>
      <c r="N11" s="31">
        <f>982.25/2</f>
        <v>491.125</v>
      </c>
      <c r="O11" s="31">
        <f>982.25/2</f>
        <v>491.125</v>
      </c>
      <c r="P11" s="31">
        <f t="shared" si="0"/>
        <v>982.25</v>
      </c>
      <c r="Q11" s="27">
        <v>3</v>
      </c>
      <c r="R11" s="31">
        <v>120</v>
      </c>
      <c r="S11" s="27"/>
      <c r="T11" s="31"/>
      <c r="U11" s="32">
        <f t="shared" si="1"/>
        <v>360</v>
      </c>
      <c r="V11" s="31">
        <f t="shared" si="2"/>
        <v>1342.25</v>
      </c>
      <c r="W11" s="31">
        <f t="shared" si="3"/>
        <v>1342.25</v>
      </c>
      <c r="X11" s="33"/>
    </row>
    <row r="12" spans="1:24" ht="25.5">
      <c r="A12" s="34" t="s">
        <v>228</v>
      </c>
      <c r="B12" s="34" t="s">
        <v>231</v>
      </c>
      <c r="C12" s="27" t="s">
        <v>86</v>
      </c>
      <c r="D12" s="29" t="s">
        <v>107</v>
      </c>
      <c r="E12" s="20" t="s">
        <v>87</v>
      </c>
      <c r="F12" s="34" t="s">
        <v>232</v>
      </c>
      <c r="G12" s="30" t="s">
        <v>36</v>
      </c>
      <c r="H12" s="27" t="s">
        <v>37</v>
      </c>
      <c r="I12" s="27" t="s">
        <v>38</v>
      </c>
      <c r="J12" s="27" t="s">
        <v>39</v>
      </c>
      <c r="K12" s="31" t="s">
        <v>40</v>
      </c>
      <c r="L12" s="35">
        <v>43180</v>
      </c>
      <c r="M12" s="35">
        <v>43181</v>
      </c>
      <c r="N12" s="31">
        <f>1009.21/2</f>
        <v>504.60500000000002</v>
      </c>
      <c r="O12" s="31">
        <f>1009.21/2</f>
        <v>504.60500000000002</v>
      </c>
      <c r="P12" s="31">
        <f t="shared" si="0"/>
        <v>1009.21</v>
      </c>
      <c r="Q12" s="27"/>
      <c r="R12" s="31"/>
      <c r="S12" s="27"/>
      <c r="T12" s="31"/>
      <c r="U12" s="32">
        <f t="shared" si="1"/>
        <v>0</v>
      </c>
      <c r="V12" s="31">
        <f t="shared" si="2"/>
        <v>1009.21</v>
      </c>
      <c r="W12" s="31">
        <f t="shared" si="3"/>
        <v>1009.21</v>
      </c>
      <c r="X12" s="33"/>
    </row>
    <row r="13" spans="1:24" ht="38.25">
      <c r="A13" s="34" t="s">
        <v>228</v>
      </c>
      <c r="B13" s="34" t="s">
        <v>221</v>
      </c>
      <c r="C13" s="27" t="s">
        <v>54</v>
      </c>
      <c r="D13" s="29" t="s">
        <v>88</v>
      </c>
      <c r="E13" s="20" t="s">
        <v>55</v>
      </c>
      <c r="F13" s="34" t="s">
        <v>232</v>
      </c>
      <c r="G13" s="30" t="s">
        <v>36</v>
      </c>
      <c r="H13" s="27" t="s">
        <v>37</v>
      </c>
      <c r="I13" s="27" t="s">
        <v>38</v>
      </c>
      <c r="J13" s="27" t="s">
        <v>39</v>
      </c>
      <c r="K13" s="31" t="s">
        <v>40</v>
      </c>
      <c r="L13" s="35">
        <v>43180</v>
      </c>
      <c r="M13" s="35">
        <v>43181</v>
      </c>
      <c r="N13" s="31">
        <f>1330.96/2</f>
        <v>665.48</v>
      </c>
      <c r="O13" s="31">
        <f>1330.96/2</f>
        <v>665.48</v>
      </c>
      <c r="P13" s="31">
        <f t="shared" si="0"/>
        <v>1330.96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1810.96</v>
      </c>
      <c r="W13" s="31">
        <f t="shared" si="3"/>
        <v>1810.96</v>
      </c>
      <c r="X13" s="33"/>
    </row>
    <row r="14" spans="1:24" ht="38.25">
      <c r="A14" s="34" t="s">
        <v>233</v>
      </c>
      <c r="B14" s="34" t="s">
        <v>233</v>
      </c>
      <c r="C14" s="27" t="s">
        <v>223</v>
      </c>
      <c r="D14" s="26" t="s">
        <v>107</v>
      </c>
      <c r="E14" s="20" t="s">
        <v>50</v>
      </c>
      <c r="F14" s="34" t="s">
        <v>51</v>
      </c>
      <c r="G14" s="30" t="s">
        <v>36</v>
      </c>
      <c r="H14" s="27" t="s">
        <v>37</v>
      </c>
      <c r="I14" s="27" t="s">
        <v>38</v>
      </c>
      <c r="J14" s="27" t="s">
        <v>39</v>
      </c>
      <c r="K14" s="31" t="s">
        <v>40</v>
      </c>
      <c r="L14" s="35">
        <v>43186</v>
      </c>
      <c r="M14" s="35">
        <v>43187</v>
      </c>
      <c r="N14" s="31">
        <f>2462.46/2</f>
        <v>1231.23</v>
      </c>
      <c r="O14" s="31">
        <f>2462.46/2</f>
        <v>1231.23</v>
      </c>
      <c r="P14" s="31">
        <f t="shared" si="0"/>
        <v>2462.46</v>
      </c>
      <c r="Q14" s="27"/>
      <c r="R14" s="31"/>
      <c r="S14" s="27"/>
      <c r="T14" s="31"/>
      <c r="U14" s="32">
        <f t="shared" si="1"/>
        <v>0</v>
      </c>
      <c r="V14" s="31">
        <f t="shared" si="2"/>
        <v>2462.46</v>
      </c>
      <c r="W14" s="31">
        <f t="shared" si="3"/>
        <v>2462.46</v>
      </c>
      <c r="X14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17"/>
  <sheetViews>
    <sheetView workbookViewId="0">
      <selection activeCell="D13" sqref="D13:E13"/>
    </sheetView>
  </sheetViews>
  <sheetFormatPr defaultRowHeight="15" customHeight="1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38.375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62" t="s">
        <v>0</v>
      </c>
      <c r="W5" s="162"/>
      <c r="X5" s="8">
        <v>43191</v>
      </c>
    </row>
    <row r="6" spans="1:24">
      <c r="A6" s="96" t="s">
        <v>1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</row>
    <row r="7" spans="1:24">
      <c r="A7" s="96" t="s">
        <v>2</v>
      </c>
      <c r="B7" s="96"/>
      <c r="C7" s="96" t="s">
        <v>3</v>
      </c>
      <c r="D7" s="96"/>
      <c r="E7" s="96"/>
      <c r="F7" s="96" t="s">
        <v>4</v>
      </c>
      <c r="G7" s="96"/>
      <c r="H7" s="96"/>
      <c r="I7" s="96"/>
      <c r="J7" s="96"/>
      <c r="K7" s="96"/>
      <c r="L7" s="96"/>
      <c r="M7" s="96"/>
      <c r="N7" s="96" t="s">
        <v>5</v>
      </c>
      <c r="O7" s="96"/>
      <c r="P7" s="96"/>
      <c r="Q7" s="96" t="s">
        <v>6</v>
      </c>
      <c r="R7" s="96"/>
      <c r="S7" s="96"/>
      <c r="T7" s="96"/>
      <c r="U7" s="96"/>
      <c r="V7" s="96"/>
      <c r="W7" s="96" t="s">
        <v>7</v>
      </c>
      <c r="X7" s="96" t="s">
        <v>8</v>
      </c>
    </row>
    <row r="8" spans="1:24" s="9" customFormat="1">
      <c r="A8" s="97" t="s">
        <v>9</v>
      </c>
      <c r="B8" s="97" t="s">
        <v>10</v>
      </c>
      <c r="C8" s="97" t="s">
        <v>11</v>
      </c>
      <c r="D8" s="97" t="s">
        <v>12</v>
      </c>
      <c r="E8" s="97" t="s">
        <v>13</v>
      </c>
      <c r="F8" s="97" t="s">
        <v>14</v>
      </c>
      <c r="G8" s="97" t="s">
        <v>15</v>
      </c>
      <c r="H8" s="97" t="s">
        <v>16</v>
      </c>
      <c r="I8" s="97"/>
      <c r="J8" s="98" t="s">
        <v>17</v>
      </c>
      <c r="K8" s="98"/>
      <c r="L8" s="97" t="s">
        <v>18</v>
      </c>
      <c r="M8" s="97" t="s">
        <v>19</v>
      </c>
      <c r="N8" s="98" t="s">
        <v>20</v>
      </c>
      <c r="O8" s="98" t="s">
        <v>21</v>
      </c>
      <c r="P8" s="98" t="s">
        <v>22</v>
      </c>
      <c r="Q8" s="98" t="s">
        <v>23</v>
      </c>
      <c r="R8" s="98"/>
      <c r="S8" s="98" t="s">
        <v>24</v>
      </c>
      <c r="T8" s="98"/>
      <c r="U8" s="97" t="s">
        <v>25</v>
      </c>
      <c r="V8" s="98" t="s">
        <v>22</v>
      </c>
      <c r="W8" s="96"/>
      <c r="X8" s="96"/>
    </row>
    <row r="9" spans="1:24" s="9" customFormat="1" ht="17.25" customHeight="1">
      <c r="A9" s="97"/>
      <c r="B9" s="97"/>
      <c r="C9" s="97"/>
      <c r="D9" s="97"/>
      <c r="E9" s="97"/>
      <c r="F9" s="97"/>
      <c r="G9" s="97"/>
      <c r="H9" s="10" t="s">
        <v>26</v>
      </c>
      <c r="I9" s="10" t="s">
        <v>27</v>
      </c>
      <c r="J9" s="10" t="s">
        <v>26</v>
      </c>
      <c r="K9" s="11" t="s">
        <v>28</v>
      </c>
      <c r="L9" s="97"/>
      <c r="M9" s="97"/>
      <c r="N9" s="98"/>
      <c r="O9" s="98"/>
      <c r="P9" s="98"/>
      <c r="Q9" s="10" t="s">
        <v>29</v>
      </c>
      <c r="R9" s="11" t="s">
        <v>30</v>
      </c>
      <c r="S9" s="10" t="s">
        <v>29</v>
      </c>
      <c r="T9" s="11" t="s">
        <v>30</v>
      </c>
      <c r="U9" s="97"/>
      <c r="V9" s="98"/>
      <c r="W9" s="96"/>
      <c r="X9" s="96"/>
    </row>
    <row r="10" spans="1:24" ht="47.25" customHeight="1">
      <c r="A10" s="34" t="s">
        <v>233</v>
      </c>
      <c r="B10" s="34" t="s">
        <v>234</v>
      </c>
      <c r="C10" s="34" t="s">
        <v>185</v>
      </c>
      <c r="D10" s="29" t="s">
        <v>186</v>
      </c>
      <c r="E10" s="34" t="s">
        <v>187</v>
      </c>
      <c r="F10" s="34" t="s">
        <v>235</v>
      </c>
      <c r="G10" s="30" t="s">
        <v>36</v>
      </c>
      <c r="H10" s="27" t="s">
        <v>37</v>
      </c>
      <c r="I10" s="27" t="s">
        <v>38</v>
      </c>
      <c r="J10" s="27" t="s">
        <v>116</v>
      </c>
      <c r="K10" s="31" t="s">
        <v>117</v>
      </c>
      <c r="L10" s="35">
        <v>43201</v>
      </c>
      <c r="M10" s="35">
        <v>43203</v>
      </c>
      <c r="N10" s="31">
        <f>756.55/2</f>
        <v>378.27499999999998</v>
      </c>
      <c r="O10" s="31">
        <f>756.55/2</f>
        <v>378.27499999999998</v>
      </c>
      <c r="P10" s="31">
        <f>N10+O10</f>
        <v>756.55</v>
      </c>
      <c r="Q10" s="27">
        <v>2</v>
      </c>
      <c r="R10" s="31">
        <v>120</v>
      </c>
      <c r="S10" s="27">
        <v>1</v>
      </c>
      <c r="T10" s="31">
        <v>25</v>
      </c>
      <c r="U10" s="32">
        <f t="shared" ref="U10:U17" si="0">(Q10*R10)+(S10*T10)</f>
        <v>265</v>
      </c>
      <c r="V10" s="31">
        <f t="shared" ref="V10:V17" si="1">P10+U10</f>
        <v>1021.55</v>
      </c>
      <c r="W10" s="31">
        <f t="shared" ref="W10:W17" si="2">V10</f>
        <v>1021.55</v>
      </c>
      <c r="X10" s="37" t="s">
        <v>236</v>
      </c>
    </row>
    <row r="11" spans="1:24" ht="51">
      <c r="A11" s="34" t="s">
        <v>233</v>
      </c>
      <c r="B11" s="34" t="s">
        <v>234</v>
      </c>
      <c r="C11" s="27" t="s">
        <v>237</v>
      </c>
      <c r="D11" s="29" t="s">
        <v>238</v>
      </c>
      <c r="E11" s="34" t="s">
        <v>239</v>
      </c>
      <c r="F11" s="34" t="s">
        <v>235</v>
      </c>
      <c r="G11" s="30" t="s">
        <v>36</v>
      </c>
      <c r="H11" s="27" t="s">
        <v>37</v>
      </c>
      <c r="I11" s="27" t="s">
        <v>38</v>
      </c>
      <c r="J11" s="27" t="s">
        <v>116</v>
      </c>
      <c r="K11" s="31" t="s">
        <v>117</v>
      </c>
      <c r="L11" s="35">
        <v>43201</v>
      </c>
      <c r="M11" s="35">
        <v>43203</v>
      </c>
      <c r="N11" s="31">
        <f>756.55/2</f>
        <v>378.27499999999998</v>
      </c>
      <c r="O11" s="31">
        <f>756.55/2</f>
        <v>378.27499999999998</v>
      </c>
      <c r="P11" s="31">
        <f t="shared" ref="P11:P17" si="3">N11+O11</f>
        <v>756.55</v>
      </c>
      <c r="Q11" s="27">
        <v>2</v>
      </c>
      <c r="R11" s="31">
        <v>120</v>
      </c>
      <c r="S11" s="27">
        <v>0</v>
      </c>
      <c r="T11" s="31">
        <v>0</v>
      </c>
      <c r="U11" s="32">
        <f t="shared" si="0"/>
        <v>240</v>
      </c>
      <c r="V11" s="31">
        <f t="shared" si="1"/>
        <v>996.55</v>
      </c>
      <c r="W11" s="31">
        <f t="shared" si="2"/>
        <v>996.55</v>
      </c>
      <c r="X11" s="33"/>
    </row>
    <row r="12" spans="1:24" ht="38.25">
      <c r="A12" s="34" t="s">
        <v>225</v>
      </c>
      <c r="B12" s="34" t="s">
        <v>240</v>
      </c>
      <c r="C12" s="27" t="s">
        <v>137</v>
      </c>
      <c r="D12" s="29" t="s">
        <v>138</v>
      </c>
      <c r="E12" s="34" t="s">
        <v>139</v>
      </c>
      <c r="F12" s="34" t="s">
        <v>235</v>
      </c>
      <c r="G12" s="30" t="s">
        <v>36</v>
      </c>
      <c r="H12" s="27" t="s">
        <v>37</v>
      </c>
      <c r="I12" s="27" t="s">
        <v>38</v>
      </c>
      <c r="J12" s="27" t="s">
        <v>116</v>
      </c>
      <c r="K12" s="31" t="s">
        <v>117</v>
      </c>
      <c r="L12" s="35">
        <v>43201</v>
      </c>
      <c r="M12" s="35">
        <v>43203</v>
      </c>
      <c r="N12" s="31">
        <f>792.22/2</f>
        <v>396.11</v>
      </c>
      <c r="O12" s="31">
        <f>792.22/2</f>
        <v>396.11</v>
      </c>
      <c r="P12" s="31">
        <f t="shared" si="3"/>
        <v>792.22</v>
      </c>
      <c r="Q12" s="27">
        <v>5</v>
      </c>
      <c r="R12" s="31">
        <v>120</v>
      </c>
      <c r="S12" s="27">
        <v>0</v>
      </c>
      <c r="T12" s="31">
        <v>0</v>
      </c>
      <c r="U12" s="32">
        <f t="shared" si="0"/>
        <v>600</v>
      </c>
      <c r="V12" s="31">
        <f t="shared" si="1"/>
        <v>1392.22</v>
      </c>
      <c r="W12" s="31">
        <f t="shared" si="2"/>
        <v>1392.22</v>
      </c>
      <c r="X12" s="33"/>
    </row>
    <row r="13" spans="1:24" ht="25.5">
      <c r="A13" s="34" t="s">
        <v>228</v>
      </c>
      <c r="B13" s="34" t="s">
        <v>241</v>
      </c>
      <c r="C13" s="27" t="s">
        <v>130</v>
      </c>
      <c r="D13" s="29" t="s">
        <v>131</v>
      </c>
      <c r="E13" s="34" t="s">
        <v>132</v>
      </c>
      <c r="F13" s="34" t="s">
        <v>242</v>
      </c>
      <c r="G13" s="30" t="s">
        <v>36</v>
      </c>
      <c r="H13" s="27" t="s">
        <v>37</v>
      </c>
      <c r="I13" s="27" t="s">
        <v>38</v>
      </c>
      <c r="J13" s="27" t="s">
        <v>39</v>
      </c>
      <c r="K13" s="31" t="s">
        <v>40</v>
      </c>
      <c r="L13" s="35">
        <v>43216</v>
      </c>
      <c r="M13" s="35">
        <v>43217</v>
      </c>
      <c r="N13" s="31">
        <f>1052.65/2</f>
        <v>526.32500000000005</v>
      </c>
      <c r="O13" s="31">
        <f>1052.65/2</f>
        <v>526.32500000000005</v>
      </c>
      <c r="P13" s="31">
        <f t="shared" si="3"/>
        <v>1052.6500000000001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0"/>
        <v>240</v>
      </c>
      <c r="V13" s="31">
        <f t="shared" si="1"/>
        <v>1292.6500000000001</v>
      </c>
      <c r="W13" s="31">
        <f t="shared" si="2"/>
        <v>1292.6500000000001</v>
      </c>
      <c r="X13" s="33"/>
    </row>
    <row r="14" spans="1:24" ht="25.5">
      <c r="A14" s="34" t="s">
        <v>228</v>
      </c>
      <c r="B14" s="34" t="s">
        <v>228</v>
      </c>
      <c r="C14" s="27" t="s">
        <v>86</v>
      </c>
      <c r="D14" s="29" t="s">
        <v>107</v>
      </c>
      <c r="E14" s="20" t="s">
        <v>87</v>
      </c>
      <c r="F14" s="34" t="s">
        <v>243</v>
      </c>
      <c r="G14" s="30" t="s">
        <v>36</v>
      </c>
      <c r="H14" s="27" t="s">
        <v>37</v>
      </c>
      <c r="I14" s="27" t="s">
        <v>38</v>
      </c>
      <c r="J14" s="27" t="s">
        <v>116</v>
      </c>
      <c r="K14" s="31" t="s">
        <v>117</v>
      </c>
      <c r="L14" s="35">
        <v>43208</v>
      </c>
      <c r="M14" s="35">
        <v>43208</v>
      </c>
      <c r="N14" s="31">
        <f>611.51/2</f>
        <v>305.755</v>
      </c>
      <c r="O14" s="31">
        <f>611.51/2</f>
        <v>305.755</v>
      </c>
      <c r="P14" s="31">
        <f t="shared" si="3"/>
        <v>611.51</v>
      </c>
      <c r="Q14" s="27">
        <v>0</v>
      </c>
      <c r="R14" s="31">
        <v>0</v>
      </c>
      <c r="S14" s="27">
        <v>0</v>
      </c>
      <c r="T14" s="31">
        <v>0</v>
      </c>
      <c r="U14" s="32">
        <f t="shared" si="0"/>
        <v>0</v>
      </c>
      <c r="V14" s="31">
        <f t="shared" si="1"/>
        <v>611.51</v>
      </c>
      <c r="W14" s="31">
        <f t="shared" si="2"/>
        <v>611.51</v>
      </c>
      <c r="X14" s="33"/>
    </row>
    <row r="15" spans="1:24" ht="25.5">
      <c r="A15" s="34" t="s">
        <v>228</v>
      </c>
      <c r="B15" s="34" t="s">
        <v>221</v>
      </c>
      <c r="C15" s="27" t="s">
        <v>54</v>
      </c>
      <c r="D15" s="29" t="s">
        <v>88</v>
      </c>
      <c r="E15" s="20" t="s">
        <v>55</v>
      </c>
      <c r="F15" s="34" t="s">
        <v>243</v>
      </c>
      <c r="G15" s="30" t="s">
        <v>36</v>
      </c>
      <c r="H15" s="27" t="s">
        <v>37</v>
      </c>
      <c r="I15" s="27" t="s">
        <v>38</v>
      </c>
      <c r="J15" s="27" t="s">
        <v>116</v>
      </c>
      <c r="K15" s="31" t="s">
        <v>117</v>
      </c>
      <c r="L15" s="35">
        <v>43208</v>
      </c>
      <c r="M15" s="35">
        <v>43208</v>
      </c>
      <c r="N15" s="31">
        <f>611.51/2</f>
        <v>305.755</v>
      </c>
      <c r="O15" s="31">
        <f>611.51/2</f>
        <v>305.755</v>
      </c>
      <c r="P15" s="31">
        <f t="shared" si="3"/>
        <v>611.51</v>
      </c>
      <c r="Q15" s="27">
        <v>3</v>
      </c>
      <c r="R15" s="31">
        <v>120</v>
      </c>
      <c r="S15" s="27"/>
      <c r="T15" s="31"/>
      <c r="U15" s="32">
        <f t="shared" si="0"/>
        <v>360</v>
      </c>
      <c r="V15" s="31">
        <f t="shared" si="1"/>
        <v>971.51</v>
      </c>
      <c r="W15" s="31">
        <f t="shared" si="2"/>
        <v>971.51</v>
      </c>
      <c r="X15" s="33"/>
    </row>
    <row r="16" spans="1:24" ht="38.25">
      <c r="A16" s="34" t="s">
        <v>228</v>
      </c>
      <c r="B16" s="34" t="s">
        <v>228</v>
      </c>
      <c r="C16" s="27" t="s">
        <v>86</v>
      </c>
      <c r="D16" s="29" t="s">
        <v>107</v>
      </c>
      <c r="E16" s="20" t="s">
        <v>87</v>
      </c>
      <c r="F16" s="34" t="s">
        <v>244</v>
      </c>
      <c r="G16" s="30" t="s">
        <v>36</v>
      </c>
      <c r="H16" s="27" t="s">
        <v>37</v>
      </c>
      <c r="I16" s="27" t="s">
        <v>38</v>
      </c>
      <c r="J16" s="27" t="s">
        <v>39</v>
      </c>
      <c r="K16" s="31" t="s">
        <v>40</v>
      </c>
      <c r="L16" s="35">
        <v>43214</v>
      </c>
      <c r="M16" s="35">
        <v>43215</v>
      </c>
      <c r="N16" s="31">
        <v>790.16</v>
      </c>
      <c r="O16" s="31">
        <v>464.01</v>
      </c>
      <c r="P16" s="31">
        <f t="shared" si="3"/>
        <v>1254.17</v>
      </c>
      <c r="Q16" s="27">
        <v>0</v>
      </c>
      <c r="R16" s="31">
        <v>0</v>
      </c>
      <c r="S16" s="27">
        <v>0</v>
      </c>
      <c r="T16" s="31">
        <v>0</v>
      </c>
      <c r="U16" s="32">
        <f t="shared" si="0"/>
        <v>0</v>
      </c>
      <c r="V16" s="31">
        <f t="shared" si="1"/>
        <v>1254.17</v>
      </c>
      <c r="W16" s="31">
        <f t="shared" si="2"/>
        <v>1254.17</v>
      </c>
      <c r="X16" s="33"/>
    </row>
    <row r="17" spans="1:24" ht="38.25">
      <c r="A17" s="34" t="s">
        <v>228</v>
      </c>
      <c r="B17" s="34" t="s">
        <v>221</v>
      </c>
      <c r="C17" s="27" t="s">
        <v>54</v>
      </c>
      <c r="D17" s="29" t="s">
        <v>88</v>
      </c>
      <c r="E17" s="20" t="s">
        <v>55</v>
      </c>
      <c r="F17" s="34" t="s">
        <v>244</v>
      </c>
      <c r="G17" s="30" t="s">
        <v>36</v>
      </c>
      <c r="H17" s="27" t="s">
        <v>37</v>
      </c>
      <c r="I17" s="27" t="s">
        <v>38</v>
      </c>
      <c r="J17" s="27" t="s">
        <v>39</v>
      </c>
      <c r="K17" s="31" t="s">
        <v>40</v>
      </c>
      <c r="L17" s="35">
        <v>43214</v>
      </c>
      <c r="M17" s="35">
        <v>43215</v>
      </c>
      <c r="N17" s="31">
        <v>790.16</v>
      </c>
      <c r="O17" s="31">
        <v>464.01</v>
      </c>
      <c r="P17" s="31">
        <f t="shared" si="3"/>
        <v>1254.17</v>
      </c>
      <c r="Q17" s="27">
        <v>4</v>
      </c>
      <c r="R17" s="31">
        <v>120</v>
      </c>
      <c r="S17" s="27">
        <v>0</v>
      </c>
      <c r="T17" s="31">
        <v>0</v>
      </c>
      <c r="U17" s="32">
        <f t="shared" si="0"/>
        <v>480</v>
      </c>
      <c r="V17" s="31">
        <f t="shared" si="1"/>
        <v>1734.17</v>
      </c>
      <c r="W17" s="31">
        <f t="shared" si="2"/>
        <v>1734.17</v>
      </c>
      <c r="X17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Cristina Santos</dc:creator>
  <cp:keywords/>
  <dc:description/>
  <cp:lastModifiedBy>Michele Maciel de Souza</cp:lastModifiedBy>
  <cp:revision>9</cp:revision>
  <dcterms:created xsi:type="dcterms:W3CDTF">2017-08-07T12:58:20Z</dcterms:created>
  <dcterms:modified xsi:type="dcterms:W3CDTF">2025-01-22T17:44:07Z</dcterms:modified>
  <cp:category/>
  <cp:contentStatus/>
</cp:coreProperties>
</file>